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40" yWindow="2120" windowWidth="24800" windowHeight="18660" tabRatio="500"/>
  </bookViews>
  <sheets>
    <sheet name="2015" sheetId="1" r:id="rId1"/>
    <sheet name="2014" sheetId="2" r:id="rId2"/>
    <sheet name="2015vs2014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16" i="2"/>
  <c r="C16"/>
  <c r="D16"/>
  <c r="Y16"/>
  <c r="Z15"/>
  <c r="C15"/>
  <c r="D15"/>
  <c r="E15"/>
  <c r="F15"/>
  <c r="Y15"/>
  <c r="Z14"/>
  <c r="C14"/>
  <c r="D14"/>
  <c r="E14"/>
  <c r="F14"/>
  <c r="G14"/>
  <c r="H14"/>
  <c r="Y14"/>
  <c r="Z13"/>
  <c r="C13"/>
  <c r="D13"/>
  <c r="E13"/>
  <c r="F13"/>
  <c r="G13"/>
  <c r="H13"/>
  <c r="Y13"/>
  <c r="Z12"/>
  <c r="C12"/>
  <c r="D12"/>
  <c r="E12"/>
  <c r="F12"/>
  <c r="G12"/>
  <c r="H12"/>
  <c r="I12"/>
  <c r="J12"/>
  <c r="Y12"/>
  <c r="Z11"/>
  <c r="C11"/>
  <c r="D11"/>
  <c r="E11"/>
  <c r="F11"/>
  <c r="G11"/>
  <c r="H11"/>
  <c r="I11"/>
  <c r="J11"/>
  <c r="K11"/>
  <c r="L11"/>
  <c r="Y11"/>
  <c r="Z10"/>
  <c r="C10"/>
  <c r="D10"/>
  <c r="E10"/>
  <c r="F10"/>
  <c r="G10"/>
  <c r="H10"/>
  <c r="I10"/>
  <c r="J10"/>
  <c r="K10"/>
  <c r="L10"/>
  <c r="Y10"/>
  <c r="Z9"/>
  <c r="C9"/>
  <c r="D9"/>
  <c r="E9"/>
  <c r="F9"/>
  <c r="G9"/>
  <c r="H9"/>
  <c r="I9"/>
  <c r="J9"/>
  <c r="K9"/>
  <c r="L9"/>
  <c r="Y9"/>
  <c r="Z8"/>
  <c r="C8"/>
  <c r="D8"/>
  <c r="E8"/>
  <c r="F8"/>
  <c r="G8"/>
  <c r="H8"/>
  <c r="I8"/>
  <c r="J8"/>
  <c r="K8"/>
  <c r="L8"/>
  <c r="M8"/>
  <c r="N8"/>
  <c r="Y8"/>
  <c r="Z7"/>
  <c r="D7"/>
  <c r="E7"/>
  <c r="C7"/>
  <c r="F7"/>
  <c r="G7"/>
  <c r="H7"/>
  <c r="I7"/>
  <c r="J7"/>
  <c r="K7"/>
  <c r="L7"/>
  <c r="M7"/>
  <c r="N7"/>
  <c r="O7"/>
  <c r="P7"/>
  <c r="Y7"/>
  <c r="C6"/>
  <c r="D6"/>
  <c r="E6"/>
  <c r="F6"/>
  <c r="G6"/>
  <c r="H6"/>
  <c r="I6"/>
  <c r="J6"/>
  <c r="K6"/>
  <c r="L6"/>
  <c r="M6"/>
  <c r="N6"/>
  <c r="O6"/>
  <c r="P6"/>
  <c r="Y6"/>
  <c r="Z5"/>
  <c r="C5"/>
  <c r="D5"/>
  <c r="E5"/>
  <c r="F5"/>
  <c r="G5"/>
  <c r="H5"/>
  <c r="I5"/>
  <c r="J5"/>
  <c r="K5"/>
  <c r="L5"/>
  <c r="M5"/>
  <c r="N5"/>
  <c r="O5"/>
  <c r="P5"/>
  <c r="Q5"/>
  <c r="R5"/>
  <c r="S5"/>
  <c r="T5"/>
  <c r="Y5"/>
  <c r="Z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Y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Y3"/>
  <c r="Z32" i="1"/>
  <c r="Z30"/>
  <c r="Z28"/>
  <c r="Z26"/>
  <c r="Z31"/>
  <c r="Z29"/>
  <c r="Z27"/>
  <c r="D31"/>
  <c r="F31"/>
  <c r="H31"/>
  <c r="Y31"/>
  <c r="D29"/>
  <c r="F29"/>
  <c r="H29"/>
  <c r="J29"/>
  <c r="Y29"/>
  <c r="D27"/>
  <c r="F27"/>
  <c r="H27"/>
  <c r="J27"/>
  <c r="Y27"/>
  <c r="D25"/>
  <c r="F25"/>
  <c r="H25"/>
  <c r="J25"/>
  <c r="Y25"/>
  <c r="D32"/>
  <c r="F32"/>
  <c r="Y32"/>
  <c r="D30"/>
  <c r="F30"/>
  <c r="H30"/>
  <c r="Y30"/>
  <c r="D28"/>
  <c r="F28"/>
  <c r="H28"/>
  <c r="J28"/>
  <c r="Y28"/>
  <c r="D26"/>
  <c r="F26"/>
  <c r="H26"/>
  <c r="J26"/>
  <c r="Y26"/>
  <c r="X25"/>
  <c r="Z25"/>
  <c r="V2"/>
  <c r="V3"/>
  <c r="V4"/>
  <c r="V5"/>
  <c r="V6"/>
  <c r="V35"/>
  <c r="T2"/>
  <c r="T3"/>
  <c r="T4"/>
  <c r="T5"/>
  <c r="T6"/>
  <c r="T7"/>
  <c r="T35"/>
  <c r="R2"/>
  <c r="R3"/>
  <c r="R4"/>
  <c r="R5"/>
  <c r="R6"/>
  <c r="R7"/>
  <c r="R8"/>
  <c r="R9"/>
  <c r="R10"/>
  <c r="R35"/>
  <c r="P2"/>
  <c r="P3"/>
  <c r="P4"/>
  <c r="P5"/>
  <c r="P6"/>
  <c r="P7"/>
  <c r="P8"/>
  <c r="P9"/>
  <c r="P10"/>
  <c r="P11"/>
  <c r="P12"/>
  <c r="P13"/>
  <c r="P14"/>
  <c r="P15"/>
  <c r="P35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35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35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35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35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35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5"/>
  <c r="X35"/>
  <c r="X21"/>
  <c r="Y21"/>
  <c r="Z21"/>
  <c r="X22"/>
  <c r="Y22"/>
  <c r="Z22"/>
  <c r="X23"/>
  <c r="Y23"/>
  <c r="Z23"/>
  <c r="X24"/>
  <c r="Y24"/>
  <c r="Z24"/>
  <c r="X16"/>
  <c r="Y16"/>
  <c r="Z16"/>
  <c r="X17"/>
  <c r="Y17"/>
  <c r="Z17"/>
  <c r="X19"/>
  <c r="Y19"/>
  <c r="Z19"/>
  <c r="X20"/>
  <c r="Y20"/>
  <c r="Z20"/>
  <c r="Y14"/>
  <c r="X11"/>
  <c r="X12"/>
  <c r="X13"/>
  <c r="X14"/>
  <c r="X15"/>
  <c r="Y15"/>
  <c r="Z15"/>
  <c r="Z14"/>
  <c r="Z13"/>
  <c r="Y13"/>
  <c r="Z11"/>
  <c r="Y11"/>
  <c r="Z12"/>
  <c r="Y12"/>
  <c r="Z10"/>
  <c r="Y10"/>
  <c r="Z9"/>
  <c r="Y8"/>
  <c r="Y9"/>
  <c r="Z8"/>
  <c r="Z7"/>
  <c r="Y7"/>
  <c r="Z6"/>
  <c r="Y6"/>
  <c r="Z5"/>
  <c r="Y5"/>
  <c r="Y4"/>
  <c r="Y3"/>
  <c r="Y2"/>
  <c r="Z4"/>
  <c r="Z3"/>
  <c r="Z2"/>
</calcChain>
</file>

<file path=xl/sharedStrings.xml><?xml version="1.0" encoding="utf-8"?>
<sst xmlns="http://schemas.openxmlformats.org/spreadsheetml/2006/main" count="245" uniqueCount="96">
  <si>
    <t>LAP7TIME</t>
  </si>
  <si>
    <t>LAP8</t>
  </si>
  <si>
    <t>LAP8TIME</t>
  </si>
  <si>
    <t>LAP9</t>
  </si>
  <si>
    <t>LAP9TIME</t>
  </si>
  <si>
    <t>LAP10</t>
  </si>
  <si>
    <t>LAP10TIME</t>
  </si>
  <si>
    <t>1</t>
    <phoneticPr fontId="2" type="noConversion"/>
  </si>
  <si>
    <t>Jeff Davis</t>
    <phoneticPr fontId="2" type="noConversion"/>
  </si>
  <si>
    <t>Renee  Aaron</t>
    <phoneticPr fontId="2" type="noConversion"/>
  </si>
  <si>
    <t>Bryan McClure</t>
    <phoneticPr fontId="2" type="noConversion"/>
  </si>
  <si>
    <t>Place</t>
    <phoneticPr fontId="2" type="noConversion"/>
  </si>
  <si>
    <t xml:space="preserve">Total Laps </t>
    <phoneticPr fontId="2" type="noConversion"/>
  </si>
  <si>
    <t>Total Miles</t>
    <phoneticPr fontId="2" type="noConversion"/>
  </si>
  <si>
    <t>Total Run Time</t>
    <phoneticPr fontId="2" type="noConversion"/>
  </si>
  <si>
    <t>Total Feet Gained</t>
    <phoneticPr fontId="2" type="noConversion"/>
  </si>
  <si>
    <t>Arthur  Priddy</t>
    <phoneticPr fontId="2" type="noConversion"/>
  </si>
  <si>
    <t>Amy  Markovich</t>
    <phoneticPr fontId="2" type="noConversion"/>
  </si>
  <si>
    <t>Heather  Ferguson</t>
    <phoneticPr fontId="2" type="noConversion"/>
  </si>
  <si>
    <t>Blake  Paulson</t>
    <phoneticPr fontId="2" type="noConversion"/>
  </si>
  <si>
    <t>Ines  Cooper</t>
    <phoneticPr fontId="2" type="noConversion"/>
  </si>
  <si>
    <t>Francesca  Muccini</t>
    <phoneticPr fontId="2" type="noConversion"/>
  </si>
  <si>
    <t>Heath  Layfield</t>
    <phoneticPr fontId="2" type="noConversion"/>
  </si>
  <si>
    <t>Tommy  Butler</t>
    <phoneticPr fontId="2" type="noConversion"/>
  </si>
  <si>
    <t>Terra Butler</t>
    <phoneticPr fontId="2" type="noConversion"/>
  </si>
  <si>
    <t>Shavonne  Atkinson</t>
    <phoneticPr fontId="2" type="noConversion"/>
  </si>
  <si>
    <t>Daniel  Wilson</t>
    <phoneticPr fontId="2" type="noConversion"/>
  </si>
  <si>
    <t>David  Mickelsen</t>
    <phoneticPr fontId="2" type="noConversion"/>
  </si>
  <si>
    <t>Chad Burgess</t>
    <phoneticPr fontId="2" type="noConversion"/>
  </si>
  <si>
    <t>Matt Denton</t>
    <phoneticPr fontId="2" type="noConversion"/>
  </si>
  <si>
    <t>Scott Simcox</t>
    <phoneticPr fontId="2" type="noConversion"/>
  </si>
  <si>
    <t>Amy  Thran</t>
    <phoneticPr fontId="2" type="noConversion"/>
  </si>
  <si>
    <t>Isabel  Lowell</t>
    <phoneticPr fontId="2" type="noConversion"/>
  </si>
  <si>
    <t>Donna  Dworak</t>
    <phoneticPr fontId="2" type="noConversion"/>
  </si>
  <si>
    <t>Jennifer  Whitley</t>
    <phoneticPr fontId="2" type="noConversion"/>
  </si>
  <si>
    <t>Courtney  Baker/Art V</t>
    <phoneticPr fontId="2" type="noConversion"/>
  </si>
  <si>
    <t>Sarah Smith</t>
    <phoneticPr fontId="2" type="noConversion"/>
  </si>
  <si>
    <t>Beiyi  Zheng</t>
    <phoneticPr fontId="2" type="noConversion"/>
  </si>
  <si>
    <t>Justin Stroud</t>
    <phoneticPr fontId="2" type="noConversion"/>
  </si>
  <si>
    <t>Catherine Beals</t>
    <phoneticPr fontId="2" type="noConversion"/>
  </si>
  <si>
    <t>Tilghman  Carroll</t>
    <phoneticPr fontId="2" type="noConversion"/>
  </si>
  <si>
    <t>Melissa  Martinez</t>
    <phoneticPr fontId="2" type="noConversion"/>
  </si>
  <si>
    <t>AVERAGES</t>
    <phoneticPr fontId="2" type="noConversion"/>
  </si>
  <si>
    <t>AVG Time Per Lap</t>
    <phoneticPr fontId="2" type="noConversion"/>
  </si>
  <si>
    <t xml:space="preserve">Total Laps </t>
    <phoneticPr fontId="2" type="noConversion"/>
  </si>
  <si>
    <t>Total Miles</t>
    <phoneticPr fontId="2" type="noConversion"/>
  </si>
  <si>
    <t>Total Run Time</t>
    <phoneticPr fontId="2" type="noConversion"/>
  </si>
  <si>
    <t>Total Feet Gained</t>
    <phoneticPr fontId="2" type="noConversion"/>
  </si>
  <si>
    <t>Solo</t>
    <phoneticPr fontId="2" type="noConversion"/>
  </si>
  <si>
    <t>Joel Meredith</t>
    <phoneticPr fontId="2" type="noConversion"/>
  </si>
  <si>
    <t>14000</t>
    <phoneticPr fontId="2" type="noConversion"/>
  </si>
  <si>
    <t>Jeff Davis</t>
    <phoneticPr fontId="2" type="noConversion"/>
  </si>
  <si>
    <t>2</t>
    <phoneticPr fontId="2" type="noConversion"/>
  </si>
  <si>
    <t>Tim Dines</t>
    <phoneticPr fontId="2" type="noConversion"/>
  </si>
  <si>
    <t>3</t>
    <phoneticPr fontId="2" type="noConversion"/>
  </si>
  <si>
    <t>Christopher Crossett</t>
    <phoneticPr fontId="2" type="noConversion"/>
  </si>
  <si>
    <t>4</t>
    <phoneticPr fontId="2" type="noConversion"/>
  </si>
  <si>
    <t>9800</t>
    <phoneticPr fontId="2" type="noConversion"/>
  </si>
  <si>
    <t>Melissa Martinez</t>
    <phoneticPr fontId="2" type="noConversion"/>
  </si>
  <si>
    <t>5</t>
    <phoneticPr fontId="2" type="noConversion"/>
  </si>
  <si>
    <t>Aaron Hill</t>
    <phoneticPr fontId="2" type="noConversion"/>
  </si>
  <si>
    <t>6</t>
    <phoneticPr fontId="2" type="noConversion"/>
  </si>
  <si>
    <t>Scott Simcox</t>
    <phoneticPr fontId="2" type="noConversion"/>
  </si>
  <si>
    <t>7</t>
    <phoneticPr fontId="2" type="noConversion"/>
  </si>
  <si>
    <t>Tyler Rusk</t>
    <phoneticPr fontId="2" type="noConversion"/>
  </si>
  <si>
    <t>8</t>
    <phoneticPr fontId="2" type="noConversion"/>
  </si>
  <si>
    <t>Gregg Ellis</t>
    <phoneticPr fontId="2" type="noConversion"/>
  </si>
  <si>
    <t>9</t>
    <phoneticPr fontId="2" type="noConversion"/>
  </si>
  <si>
    <t>Jennifer Whitley</t>
    <phoneticPr fontId="2" type="noConversion"/>
  </si>
  <si>
    <t>10</t>
    <phoneticPr fontId="2" type="noConversion"/>
  </si>
  <si>
    <t>Dee Reynolds</t>
    <phoneticPr fontId="2" type="noConversion"/>
  </si>
  <si>
    <t>11</t>
    <phoneticPr fontId="2" type="noConversion"/>
  </si>
  <si>
    <t>Kevin Brandon</t>
    <phoneticPr fontId="2" type="noConversion"/>
  </si>
  <si>
    <t>12</t>
    <phoneticPr fontId="2" type="noConversion"/>
  </si>
  <si>
    <t>John Crossett</t>
    <phoneticPr fontId="2" type="noConversion"/>
  </si>
  <si>
    <t>13</t>
    <phoneticPr fontId="2" type="noConversion"/>
  </si>
  <si>
    <t>Holland Carley</t>
    <phoneticPr fontId="2" type="noConversion"/>
  </si>
  <si>
    <t>14</t>
    <phoneticPr fontId="2" type="noConversion"/>
  </si>
  <si>
    <t>2</t>
  </si>
  <si>
    <t>3</t>
  </si>
  <si>
    <t>Debbie  Piotrowski</t>
    <phoneticPr fontId="2" type="noConversion"/>
  </si>
  <si>
    <t>John Hardin</t>
    <phoneticPr fontId="2" type="noConversion"/>
  </si>
  <si>
    <t>TEAM</t>
  </si>
  <si>
    <t>LAP1</t>
  </si>
  <si>
    <t>LAP1TIME</t>
  </si>
  <si>
    <t>LAP2</t>
  </si>
  <si>
    <t>LAP2TIME</t>
  </si>
  <si>
    <t>LAP3</t>
  </si>
  <si>
    <t>LAP3TIME</t>
  </si>
  <si>
    <t>LAP4</t>
  </si>
  <si>
    <t>LAP4TIME</t>
  </si>
  <si>
    <t>LAP5</t>
  </si>
  <si>
    <t>LAP5TIME</t>
  </si>
  <si>
    <t>LAP6</t>
  </si>
  <si>
    <t>LAP6TIME</t>
  </si>
  <si>
    <t>LAP7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</si>
</sst>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h:mm:ss"/>
    <numFmt numFmtId="169" formatCode="[h]:mm:ss"/>
    <numFmt numFmtId="170" formatCode="h:mm\ AM/PM"/>
  </numFmts>
  <fonts count="13">
    <font>
      <sz val="10"/>
      <name val="Verdana"/>
    </font>
    <font>
      <b/>
      <sz val="10"/>
      <name val="Verdana"/>
    </font>
    <font>
      <sz val="8"/>
      <name val="Verdana"/>
    </font>
    <font>
      <b/>
      <u/>
      <sz val="14"/>
      <color indexed="8"/>
      <name val="Arial"/>
    </font>
    <font>
      <b/>
      <u/>
      <sz val="14"/>
      <color indexed="8"/>
      <name val="Calibri"/>
    </font>
    <font>
      <b/>
      <sz val="14"/>
      <color indexed="8"/>
      <name val="Calibri"/>
    </font>
    <font>
      <b/>
      <sz val="14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b/>
      <sz val="10"/>
      <color indexed="10"/>
      <name val="Arial"/>
    </font>
    <font>
      <b/>
      <sz val="10"/>
      <color indexed="10"/>
      <name val="Verdana"/>
    </font>
    <font>
      <b/>
      <sz val="10"/>
      <color indexed="8"/>
      <name val="Verdana"/>
    </font>
    <font>
      <b/>
      <u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1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170" fontId="7" fillId="3" borderId="1" xfId="0" applyNumberFormat="1" applyFont="1" applyFill="1" applyBorder="1" applyAlignment="1">
      <alignment horizontal="center"/>
    </xf>
    <xf numFmtId="18" fontId="7" fillId="3" borderId="1" xfId="0" applyNumberFormat="1" applyFont="1" applyFill="1" applyBorder="1" applyAlignment="1">
      <alignment horizontal="center"/>
    </xf>
    <xf numFmtId="170" fontId="7" fillId="3" borderId="1" xfId="0" applyNumberFormat="1" applyFont="1" applyFill="1" applyBorder="1" applyAlignment="1">
      <alignment horizontal="center"/>
    </xf>
    <xf numFmtId="170" fontId="7" fillId="3" borderId="1" xfId="0" applyNumberFormat="1" applyFont="1" applyFill="1" applyBorder="1" applyAlignment="1">
      <alignment horizontal="center"/>
    </xf>
    <xf numFmtId="170" fontId="7" fillId="3" borderId="1" xfId="0" applyNumberFormat="1" applyFont="1" applyFill="1" applyBorder="1" applyAlignment="1">
      <alignment horizontal="center"/>
    </xf>
    <xf numFmtId="17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46" fontId="7" fillId="3" borderId="1" xfId="0" applyNumberFormat="1" applyFont="1" applyFill="1" applyBorder="1" applyAlignment="1">
      <alignment horizontal="center"/>
    </xf>
    <xf numFmtId="21" fontId="7" fillId="3" borderId="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6" fontId="4" fillId="0" borderId="0" xfId="0" applyNumberFormat="1" applyFont="1" applyAlignment="1">
      <alignment horizontal="center"/>
    </xf>
    <xf numFmtId="46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170" fontId="7" fillId="3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8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8" fontId="9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69" fontId="9" fillId="2" borderId="1" xfId="0" applyNumberFormat="1" applyFont="1" applyFill="1" applyBorder="1" applyAlignment="1">
      <alignment horizontal="center"/>
    </xf>
    <xf numFmtId="169" fontId="7" fillId="3" borderId="1" xfId="0" applyNumberFormat="1" applyFont="1" applyFill="1" applyBorder="1" applyAlignment="1">
      <alignment horizontal="center"/>
    </xf>
    <xf numFmtId="4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21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21" fontId="6" fillId="3" borderId="1" xfId="0" applyNumberFormat="1" applyFont="1" applyFill="1" applyBorder="1" applyAlignment="1">
      <alignment horizontal="center" wrapText="1"/>
    </xf>
    <xf numFmtId="21" fontId="6" fillId="3" borderId="0" xfId="0" applyNumberFormat="1" applyFont="1" applyFill="1" applyAlignment="1">
      <alignment horizontal="center" wrapText="1"/>
    </xf>
    <xf numFmtId="46" fontId="5" fillId="2" borderId="1" xfId="0" applyNumberFormat="1" applyFont="1" applyFill="1" applyBorder="1" applyAlignment="1">
      <alignment horizontal="center"/>
    </xf>
    <xf numFmtId="21" fontId="5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46" fontId="5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21" fontId="5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6" fontId="5" fillId="2" borderId="0" xfId="0" applyNumberFormat="1" applyFont="1" applyFill="1" applyAlignment="1">
      <alignment horizontal="center"/>
    </xf>
    <xf numFmtId="46" fontId="5" fillId="3" borderId="1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35"/>
  <sheetViews>
    <sheetView tabSelected="1" view="pageLayout" zoomScaleNormal="125" zoomScalePageLayoutView="125" workbookViewId="0">
      <selection activeCell="D39" sqref="D39"/>
    </sheetView>
  </sheetViews>
  <sheetFormatPr baseColWidth="10" defaultRowHeight="13"/>
  <cols>
    <col min="1" max="1" width="19.28515625" style="71" bestFit="1" customWidth="1"/>
    <col min="2" max="23" width="10.7109375" style="71"/>
    <col min="24" max="24" width="20.5703125" style="71" customWidth="1"/>
    <col min="25" max="16384" width="10.7109375" style="71"/>
  </cols>
  <sheetData>
    <row r="1" spans="1:26" s="25" customFormat="1" ht="15" customHeight="1">
      <c r="A1" s="24" t="s">
        <v>82</v>
      </c>
      <c r="B1" s="21" t="s">
        <v>11</v>
      </c>
      <c r="C1" s="24" t="s">
        <v>83</v>
      </c>
      <c r="D1" s="24" t="s">
        <v>84</v>
      </c>
      <c r="E1" s="24" t="s">
        <v>85</v>
      </c>
      <c r="F1" s="24" t="s">
        <v>86</v>
      </c>
      <c r="G1" s="24" t="s">
        <v>87</v>
      </c>
      <c r="H1" s="24" t="s">
        <v>88</v>
      </c>
      <c r="I1" s="24" t="s">
        <v>89</v>
      </c>
      <c r="J1" s="24" t="s">
        <v>90</v>
      </c>
      <c r="K1" s="24" t="s">
        <v>91</v>
      </c>
      <c r="L1" s="24" t="s">
        <v>92</v>
      </c>
      <c r="M1" s="24" t="s">
        <v>93</v>
      </c>
      <c r="N1" s="24" t="s">
        <v>94</v>
      </c>
      <c r="O1" s="24" t="s">
        <v>95</v>
      </c>
      <c r="P1" s="24" t="s">
        <v>0</v>
      </c>
      <c r="Q1" s="24" t="s">
        <v>1</v>
      </c>
      <c r="R1" s="24" t="s">
        <v>2</v>
      </c>
      <c r="S1" s="24" t="s">
        <v>3</v>
      </c>
      <c r="T1" s="24" t="s">
        <v>4</v>
      </c>
      <c r="U1" s="24" t="s">
        <v>5</v>
      </c>
      <c r="V1" s="24" t="s">
        <v>6</v>
      </c>
      <c r="W1" s="22" t="s">
        <v>12</v>
      </c>
      <c r="X1" s="22" t="s">
        <v>13</v>
      </c>
      <c r="Y1" s="22" t="s">
        <v>14</v>
      </c>
      <c r="Z1" s="22" t="s">
        <v>15</v>
      </c>
    </row>
    <row r="2" spans="1:26" s="20" customFormat="1" ht="12">
      <c r="A2" s="18" t="s">
        <v>8</v>
      </c>
      <c r="B2" s="8" t="s">
        <v>7</v>
      </c>
      <c r="C2" s="26">
        <v>0.45416666666666666</v>
      </c>
      <c r="D2" s="39">
        <f>TIME(0,54,0)</f>
        <v>3.7499999999999999E-2</v>
      </c>
      <c r="E2" s="26">
        <v>0.48333333333333334</v>
      </c>
      <c r="F2" s="39">
        <f t="shared" ref="F2:F32" si="0">(MOD(E2-C2,1))</f>
        <v>2.9166666666666674E-2</v>
      </c>
      <c r="G2" s="19">
        <v>0.53194444444444444</v>
      </c>
      <c r="H2" s="39">
        <f t="shared" ref="H2:H31" si="1">(MOD(G2-E2,1))</f>
        <v>4.8611111111111105E-2</v>
      </c>
      <c r="I2" s="10">
        <v>0.5708333333333333</v>
      </c>
      <c r="J2" s="39">
        <f t="shared" ref="J2:J29" si="2">(MOD(I2-G2,1))</f>
        <v>3.8888888888888862E-2</v>
      </c>
      <c r="K2" s="11">
        <v>0.61249999999999993</v>
      </c>
      <c r="L2" s="39">
        <f t="shared" ref="L2:L23" si="3">(MOD(K2-I2,1))</f>
        <v>4.166666666666663E-2</v>
      </c>
      <c r="M2" s="11">
        <v>0.65416666666666667</v>
      </c>
      <c r="N2" s="39">
        <f t="shared" ref="N2:N20" si="4">(MOD(M2-K2,1))</f>
        <v>4.1666666666666741E-2</v>
      </c>
      <c r="O2" s="12">
        <v>0.69791666666666663</v>
      </c>
      <c r="P2" s="39">
        <f t="shared" ref="P2:P15" si="5">(MOD(O2-M2,1))</f>
        <v>4.3749999999999956E-2</v>
      </c>
      <c r="Q2" s="13">
        <v>0.74236111111111114</v>
      </c>
      <c r="R2" s="39">
        <f t="shared" ref="R2:R10" si="6">(MOD(Q2-O2,1))</f>
        <v>4.4444444444444509E-2</v>
      </c>
      <c r="S2" s="13">
        <v>0.78680555555555554</v>
      </c>
      <c r="T2" s="39">
        <f t="shared" ref="T2:T7" si="7">(MOD(S2-Q2,1))</f>
        <v>4.4444444444444398E-2</v>
      </c>
      <c r="U2" s="14">
        <v>0.82916666666666661</v>
      </c>
      <c r="V2" s="39">
        <f>(MOD(U2-S2,1))</f>
        <v>4.2361111111111072E-2</v>
      </c>
      <c r="W2" s="15">
        <v>10</v>
      </c>
      <c r="X2" s="15">
        <v>50</v>
      </c>
      <c r="Y2" s="16">
        <f>SUM(D2+F2+H2+J2+L2+N2+P2+R2+T2+V2)</f>
        <v>0.41249999999999998</v>
      </c>
      <c r="Z2" s="17">
        <f t="shared" ref="Z2:Z15" si="8">W2*1400</f>
        <v>14000</v>
      </c>
    </row>
    <row r="3" spans="1:26" s="70" customFormat="1">
      <c r="A3" s="69" t="s">
        <v>29</v>
      </c>
      <c r="B3" s="27" t="s">
        <v>78</v>
      </c>
      <c r="C3" s="28">
        <v>0.45555555555555555</v>
      </c>
      <c r="D3" s="38">
        <f>TIME(0,56,0)</f>
        <v>3.888888888888889E-2</v>
      </c>
      <c r="E3" s="28">
        <v>0.49513888888888885</v>
      </c>
      <c r="F3" s="38">
        <f t="shared" si="0"/>
        <v>3.9583333333333304E-2</v>
      </c>
      <c r="G3" s="29">
        <v>0.53680555555555554</v>
      </c>
      <c r="H3" s="38">
        <f t="shared" si="1"/>
        <v>4.1666666666666685E-2</v>
      </c>
      <c r="I3" s="30">
        <v>0.58333333333333337</v>
      </c>
      <c r="J3" s="38">
        <f t="shared" si="2"/>
        <v>4.6527777777777835E-2</v>
      </c>
      <c r="K3" s="31">
        <v>0.63194444444444442</v>
      </c>
      <c r="L3" s="38">
        <f t="shared" si="3"/>
        <v>4.8611111111111049E-2</v>
      </c>
      <c r="M3" s="31">
        <v>0.68263888888888891</v>
      </c>
      <c r="N3" s="38">
        <f t="shared" si="4"/>
        <v>5.0694444444444486E-2</v>
      </c>
      <c r="O3" s="32">
        <v>0.73125000000000007</v>
      </c>
      <c r="P3" s="38">
        <f t="shared" si="5"/>
        <v>4.861111111111116E-2</v>
      </c>
      <c r="Q3" s="33">
        <v>0.79305555555555562</v>
      </c>
      <c r="R3" s="38">
        <f t="shared" si="6"/>
        <v>6.1805555555555558E-2</v>
      </c>
      <c r="S3" s="33">
        <v>0.85069444444444453</v>
      </c>
      <c r="T3" s="38">
        <f t="shared" si="7"/>
        <v>5.7638888888888906E-2</v>
      </c>
      <c r="U3" s="34">
        <v>0.90763888888888899</v>
      </c>
      <c r="V3" s="38">
        <f>(MOD(U3-S3,1))</f>
        <v>5.6944444444444464E-2</v>
      </c>
      <c r="W3" s="35">
        <v>10</v>
      </c>
      <c r="X3" s="35">
        <v>50</v>
      </c>
      <c r="Y3" s="36">
        <f t="shared" ref="Y3" si="9">SUM(D3+F3+H3+J3+L3+N3+P3+R3+T3+V3)</f>
        <v>0.49097222222222237</v>
      </c>
      <c r="Z3" s="37">
        <f t="shared" si="8"/>
        <v>14000</v>
      </c>
    </row>
    <row r="4" spans="1:26" s="72" customFormat="1">
      <c r="A4" s="73" t="s">
        <v>28</v>
      </c>
      <c r="B4" s="8" t="s">
        <v>79</v>
      </c>
      <c r="C4" s="26">
        <v>0.46111111111111108</v>
      </c>
      <c r="D4" s="39">
        <f>TIME(1,4,0)</f>
        <v>4.4444444444444446E-2</v>
      </c>
      <c r="E4" s="26">
        <v>0.50347222222222221</v>
      </c>
      <c r="F4" s="39">
        <f t="shared" si="0"/>
        <v>4.2361111111111127E-2</v>
      </c>
      <c r="G4" s="9">
        <v>0.55208333333333337</v>
      </c>
      <c r="H4" s="39">
        <f t="shared" si="1"/>
        <v>4.861111111111116E-2</v>
      </c>
      <c r="I4" s="10">
        <v>0.59861111111111109</v>
      </c>
      <c r="J4" s="39">
        <f t="shared" si="2"/>
        <v>4.6527777777777724E-2</v>
      </c>
      <c r="K4" s="11">
        <v>0.65</v>
      </c>
      <c r="L4" s="39">
        <f t="shared" si="3"/>
        <v>5.1388888888888928E-2</v>
      </c>
      <c r="M4" s="11">
        <v>0.69930555555555562</v>
      </c>
      <c r="N4" s="39">
        <f t="shared" si="4"/>
        <v>4.9305555555555602E-2</v>
      </c>
      <c r="O4" s="12">
        <v>0.75208333333333333</v>
      </c>
      <c r="P4" s="39">
        <f t="shared" si="5"/>
        <v>5.2777777777777701E-2</v>
      </c>
      <c r="Q4" s="13">
        <v>0.80486111111111114</v>
      </c>
      <c r="R4" s="39">
        <f t="shared" si="6"/>
        <v>5.2777777777777812E-2</v>
      </c>
      <c r="S4" s="13">
        <v>0.85833333333333339</v>
      </c>
      <c r="T4" s="39">
        <f t="shared" si="7"/>
        <v>5.3472222222222254E-2</v>
      </c>
      <c r="U4" s="14">
        <v>0.91041666666666676</v>
      </c>
      <c r="V4" s="39">
        <f>(MOD(U4-S4,1))</f>
        <v>5.208333333333337E-2</v>
      </c>
      <c r="W4" s="15">
        <v>10</v>
      </c>
      <c r="X4" s="15">
        <v>50</v>
      </c>
      <c r="Y4" s="16">
        <f>SUM(D4+F4+H4+J4+L4+N4+P4+R4+T4+V4)</f>
        <v>0.49375000000000013</v>
      </c>
      <c r="Z4" s="17">
        <f t="shared" si="8"/>
        <v>14000</v>
      </c>
    </row>
    <row r="5" spans="1:26" s="70" customFormat="1">
      <c r="A5" s="69" t="s">
        <v>30</v>
      </c>
      <c r="B5" s="69">
        <v>4</v>
      </c>
      <c r="C5" s="28">
        <v>0.46249999999999997</v>
      </c>
      <c r="D5" s="38">
        <f>TIME(1,6,0)</f>
        <v>4.5833333333333337E-2</v>
      </c>
      <c r="E5" s="28">
        <v>0.50902777777777775</v>
      </c>
      <c r="F5" s="38">
        <f t="shared" si="0"/>
        <v>4.6527777777777779E-2</v>
      </c>
      <c r="G5" s="29">
        <v>0.55555555555555558</v>
      </c>
      <c r="H5" s="38">
        <f t="shared" si="1"/>
        <v>4.6527777777777835E-2</v>
      </c>
      <c r="I5" s="30">
        <v>0.6020833333333333</v>
      </c>
      <c r="J5" s="38">
        <f t="shared" si="2"/>
        <v>4.6527777777777724E-2</v>
      </c>
      <c r="K5" s="31">
        <v>0.65138888888888891</v>
      </c>
      <c r="L5" s="38">
        <f t="shared" si="3"/>
        <v>4.9305555555555602E-2</v>
      </c>
      <c r="M5" s="31">
        <v>0.70277777777777783</v>
      </c>
      <c r="N5" s="38">
        <f t="shared" si="4"/>
        <v>5.1388888888888928E-2</v>
      </c>
      <c r="O5" s="32">
        <v>0.75902777777777775</v>
      </c>
      <c r="P5" s="38">
        <f t="shared" si="5"/>
        <v>5.6249999999999911E-2</v>
      </c>
      <c r="Q5" s="33">
        <v>0.81458333333333333</v>
      </c>
      <c r="R5" s="38">
        <f t="shared" si="6"/>
        <v>5.555555555555558E-2</v>
      </c>
      <c r="S5" s="33">
        <v>0.86249999999999993</v>
      </c>
      <c r="T5" s="38">
        <f t="shared" si="7"/>
        <v>4.7916666666666607E-2</v>
      </c>
      <c r="U5" s="34">
        <v>0.91319444444444453</v>
      </c>
      <c r="V5" s="38">
        <f>(MOD(U5-S5,1))</f>
        <v>5.0694444444444597E-2</v>
      </c>
      <c r="W5" s="35">
        <v>10</v>
      </c>
      <c r="X5" s="35">
        <v>50</v>
      </c>
      <c r="Y5" s="36">
        <f t="shared" ref="Y5:Y6" si="10">SUM(D5+F5+H5+J5+L5+N5+P5+R5+T5+V5)</f>
        <v>0.4965277777777779</v>
      </c>
      <c r="Z5" s="37">
        <f t="shared" si="8"/>
        <v>14000</v>
      </c>
    </row>
    <row r="6" spans="1:26" s="72" customFormat="1">
      <c r="A6" s="73" t="s">
        <v>16</v>
      </c>
      <c r="B6" s="73">
        <v>5</v>
      </c>
      <c r="C6" s="26">
        <v>0.4548611111111111</v>
      </c>
      <c r="D6" s="39">
        <f>TIME(0,55,0)</f>
        <v>3.8194444444444441E-2</v>
      </c>
      <c r="E6" s="26">
        <v>0.4916666666666667</v>
      </c>
      <c r="F6" s="39">
        <f t="shared" si="0"/>
        <v>3.6805555555555591E-2</v>
      </c>
      <c r="G6" s="9">
        <v>0.53611111111111109</v>
      </c>
      <c r="H6" s="39">
        <f t="shared" si="1"/>
        <v>4.4444444444444398E-2</v>
      </c>
      <c r="I6" s="10">
        <v>0.58958333333333335</v>
      </c>
      <c r="J6" s="39">
        <f t="shared" si="2"/>
        <v>5.3472222222222254E-2</v>
      </c>
      <c r="K6" s="11">
        <v>0.65347222222222223</v>
      </c>
      <c r="L6" s="39">
        <f t="shared" si="3"/>
        <v>6.3888888888888884E-2</v>
      </c>
      <c r="M6" s="11">
        <v>0.69861111111111107</v>
      </c>
      <c r="N6" s="39">
        <f t="shared" si="4"/>
        <v>4.513888888888884E-2</v>
      </c>
      <c r="O6" s="12">
        <v>0.75</v>
      </c>
      <c r="P6" s="39">
        <f t="shared" si="5"/>
        <v>5.1388888888888928E-2</v>
      </c>
      <c r="Q6" s="13">
        <v>0.8041666666666667</v>
      </c>
      <c r="R6" s="39">
        <f t="shared" si="6"/>
        <v>5.4166666666666696E-2</v>
      </c>
      <c r="S6" s="13">
        <v>0.8652777777777777</v>
      </c>
      <c r="T6" s="39">
        <f t="shared" si="7"/>
        <v>6.1111111111111005E-2</v>
      </c>
      <c r="U6" s="14">
        <v>0.91527777777777775</v>
      </c>
      <c r="V6" s="39">
        <f>(MOD(U6-S6,1))</f>
        <v>5.0000000000000044E-2</v>
      </c>
      <c r="W6" s="15">
        <v>10</v>
      </c>
      <c r="X6" s="15">
        <v>50</v>
      </c>
      <c r="Y6" s="16">
        <f t="shared" si="10"/>
        <v>0.49861111111111112</v>
      </c>
      <c r="Z6" s="17">
        <f t="shared" si="8"/>
        <v>14000</v>
      </c>
    </row>
    <row r="7" spans="1:26" s="70" customFormat="1">
      <c r="A7" s="69" t="s">
        <v>10</v>
      </c>
      <c r="B7" s="69">
        <v>6</v>
      </c>
      <c r="C7" s="28">
        <v>0.45833333333333331</v>
      </c>
      <c r="D7" s="38">
        <f>TIME(1,0,0)</f>
        <v>4.1666666666666664E-2</v>
      </c>
      <c r="E7" s="28">
        <v>0.49861111111111112</v>
      </c>
      <c r="F7" s="38">
        <f t="shared" si="0"/>
        <v>4.0277777777777801E-2</v>
      </c>
      <c r="G7" s="29">
        <v>0.54305555555555551</v>
      </c>
      <c r="H7" s="38">
        <f t="shared" si="1"/>
        <v>4.4444444444444398E-2</v>
      </c>
      <c r="I7" s="30">
        <v>0.59166666666666667</v>
      </c>
      <c r="J7" s="38">
        <f t="shared" si="2"/>
        <v>4.861111111111116E-2</v>
      </c>
      <c r="K7" s="31">
        <v>0.64583333333333337</v>
      </c>
      <c r="L7" s="38">
        <f t="shared" si="3"/>
        <v>5.4166666666666696E-2</v>
      </c>
      <c r="M7" s="31">
        <v>0.70000000000000007</v>
      </c>
      <c r="N7" s="38">
        <f t="shared" si="4"/>
        <v>5.4166666666666696E-2</v>
      </c>
      <c r="O7" s="32">
        <v>0.76250000000000007</v>
      </c>
      <c r="P7" s="38">
        <f t="shared" si="5"/>
        <v>6.25E-2</v>
      </c>
      <c r="Q7" s="33">
        <v>0.82638888888888884</v>
      </c>
      <c r="R7" s="38">
        <f t="shared" si="6"/>
        <v>6.3888888888888773E-2</v>
      </c>
      <c r="S7" s="33">
        <v>0.89236111111111116</v>
      </c>
      <c r="T7" s="38">
        <f t="shared" si="7"/>
        <v>6.5972222222222321E-2</v>
      </c>
      <c r="U7" s="34"/>
      <c r="V7" s="38"/>
      <c r="W7" s="35">
        <v>9</v>
      </c>
      <c r="X7" s="35">
        <v>45</v>
      </c>
      <c r="Y7" s="36">
        <f t="shared" ref="Y7:Y9" si="11">SUM(D7+F7+H7+J7+L7+N7+P7+R7+T7+V7)</f>
        <v>0.47569444444444453</v>
      </c>
      <c r="Z7" s="37">
        <f t="shared" si="8"/>
        <v>12600</v>
      </c>
    </row>
    <row r="8" spans="1:26" s="72" customFormat="1">
      <c r="A8" s="73" t="s">
        <v>17</v>
      </c>
      <c r="B8" s="73">
        <v>7</v>
      </c>
      <c r="C8" s="26">
        <v>0.46458333333333335</v>
      </c>
      <c r="D8" s="39">
        <f>TIME(1,9,0)</f>
        <v>4.7916666666666663E-2</v>
      </c>
      <c r="E8" s="26">
        <v>0.51527777777777783</v>
      </c>
      <c r="F8" s="39">
        <f t="shared" si="0"/>
        <v>5.0694444444444486E-2</v>
      </c>
      <c r="G8" s="9">
        <v>0.56736111111111109</v>
      </c>
      <c r="H8" s="39">
        <f t="shared" si="1"/>
        <v>5.2083333333333259E-2</v>
      </c>
      <c r="I8" s="10">
        <v>0.625</v>
      </c>
      <c r="J8" s="39">
        <f t="shared" si="2"/>
        <v>5.7638888888888906E-2</v>
      </c>
      <c r="K8" s="11">
        <v>0.68125000000000002</v>
      </c>
      <c r="L8" s="39">
        <f t="shared" si="3"/>
        <v>5.6250000000000022E-2</v>
      </c>
      <c r="M8" s="11">
        <v>0.73819444444444438</v>
      </c>
      <c r="N8" s="39">
        <f t="shared" si="4"/>
        <v>5.6944444444444353E-2</v>
      </c>
      <c r="O8" s="12">
        <v>0.7993055555555556</v>
      </c>
      <c r="P8" s="39">
        <f t="shared" si="5"/>
        <v>6.1111111111111227E-2</v>
      </c>
      <c r="Q8" s="13">
        <v>0.85972222222222217</v>
      </c>
      <c r="R8" s="39">
        <f t="shared" si="6"/>
        <v>6.0416666666666563E-2</v>
      </c>
      <c r="S8" s="13"/>
      <c r="T8" s="39"/>
      <c r="U8" s="14"/>
      <c r="V8" s="39"/>
      <c r="W8" s="15">
        <v>8</v>
      </c>
      <c r="X8" s="15">
        <v>40</v>
      </c>
      <c r="Y8" s="16">
        <f t="shared" si="11"/>
        <v>0.44305555555555548</v>
      </c>
      <c r="Z8" s="17">
        <f t="shared" si="8"/>
        <v>11200</v>
      </c>
    </row>
    <row r="9" spans="1:26" s="70" customFormat="1">
      <c r="A9" s="69" t="s">
        <v>31</v>
      </c>
      <c r="B9" s="69">
        <v>8</v>
      </c>
      <c r="C9" s="28">
        <v>0.47083333333333338</v>
      </c>
      <c r="D9" s="38">
        <f>TIME(1,18,0)</f>
        <v>5.4166666666666669E-2</v>
      </c>
      <c r="E9" s="28">
        <v>0.52986111111111112</v>
      </c>
      <c r="F9" s="38">
        <f t="shared" si="0"/>
        <v>5.9027777777777735E-2</v>
      </c>
      <c r="G9" s="29">
        <v>0.58750000000000002</v>
      </c>
      <c r="H9" s="38">
        <f t="shared" si="1"/>
        <v>5.7638888888888906E-2</v>
      </c>
      <c r="I9" s="30">
        <v>0.64444444444444449</v>
      </c>
      <c r="J9" s="38">
        <f t="shared" si="2"/>
        <v>5.6944444444444464E-2</v>
      </c>
      <c r="K9" s="31">
        <v>0.69930555555555562</v>
      </c>
      <c r="L9" s="38">
        <f t="shared" si="3"/>
        <v>5.4861111111111138E-2</v>
      </c>
      <c r="M9" s="31">
        <v>0.76527777777777783</v>
      </c>
      <c r="N9" s="38">
        <f t="shared" si="4"/>
        <v>6.597222222222221E-2</v>
      </c>
      <c r="O9" s="32">
        <v>0.8340277777777777</v>
      </c>
      <c r="P9" s="38">
        <f t="shared" si="5"/>
        <v>6.8749999999999867E-2</v>
      </c>
      <c r="Q9" s="33">
        <v>0.90625</v>
      </c>
      <c r="R9" s="38">
        <f t="shared" si="6"/>
        <v>7.2222222222222299E-2</v>
      </c>
      <c r="S9" s="33"/>
      <c r="T9" s="38"/>
      <c r="U9" s="34"/>
      <c r="V9" s="38"/>
      <c r="W9" s="35">
        <v>8</v>
      </c>
      <c r="X9" s="35">
        <v>40</v>
      </c>
      <c r="Y9" s="36">
        <f t="shared" si="11"/>
        <v>0.48958333333333326</v>
      </c>
      <c r="Z9" s="37">
        <f t="shared" si="8"/>
        <v>11200</v>
      </c>
    </row>
    <row r="10" spans="1:26" s="72" customFormat="1">
      <c r="A10" s="73" t="s">
        <v>18</v>
      </c>
      <c r="B10" s="73">
        <v>9</v>
      </c>
      <c r="C10" s="26">
        <v>0.45902777777777781</v>
      </c>
      <c r="D10" s="39">
        <f>TIME(1,1,0)</f>
        <v>4.2361111111111106E-2</v>
      </c>
      <c r="E10" s="26">
        <v>0.50416666666666665</v>
      </c>
      <c r="F10" s="39">
        <f t="shared" si="0"/>
        <v>4.513888888888884E-2</v>
      </c>
      <c r="G10" s="9">
        <v>0.55972222222222223</v>
      </c>
      <c r="H10" s="39">
        <f t="shared" si="1"/>
        <v>5.555555555555558E-2</v>
      </c>
      <c r="I10" s="10">
        <v>0.625</v>
      </c>
      <c r="J10" s="39">
        <f t="shared" si="2"/>
        <v>6.5277777777777768E-2</v>
      </c>
      <c r="K10" s="11">
        <v>0.6958333333333333</v>
      </c>
      <c r="L10" s="39">
        <f t="shared" si="3"/>
        <v>7.0833333333333304E-2</v>
      </c>
      <c r="M10" s="11">
        <v>0.76666666666666661</v>
      </c>
      <c r="N10" s="39">
        <f t="shared" si="4"/>
        <v>7.0833333333333304E-2</v>
      </c>
      <c r="O10" s="12">
        <v>0.83888888888888891</v>
      </c>
      <c r="P10" s="39">
        <f t="shared" si="5"/>
        <v>7.2222222222222299E-2</v>
      </c>
      <c r="Q10" s="13">
        <v>0.92847222222222225</v>
      </c>
      <c r="R10" s="39">
        <f t="shared" si="6"/>
        <v>8.9583333333333348E-2</v>
      </c>
      <c r="S10" s="73"/>
      <c r="T10" s="73"/>
      <c r="U10" s="73"/>
      <c r="V10" s="73"/>
      <c r="W10" s="15">
        <v>8</v>
      </c>
      <c r="X10" s="15">
        <v>40</v>
      </c>
      <c r="Y10" s="16">
        <f t="shared" ref="Y10:Y11" si="12">SUM(D10+F10+H10+J10+L10+N10+P10+R10+T10+V10)</f>
        <v>0.51180555555555551</v>
      </c>
      <c r="Z10" s="17">
        <f t="shared" si="8"/>
        <v>11200</v>
      </c>
    </row>
    <row r="11" spans="1:26" s="70" customFormat="1">
      <c r="A11" s="69" t="s">
        <v>32</v>
      </c>
      <c r="B11" s="69">
        <v>10</v>
      </c>
      <c r="C11" s="28">
        <v>0.46736111111111112</v>
      </c>
      <c r="D11" s="38">
        <f>TIME(1,13,0)</f>
        <v>5.0694444444444452E-2</v>
      </c>
      <c r="E11" s="28">
        <v>0.4770833333333333</v>
      </c>
      <c r="F11" s="38">
        <f t="shared" si="0"/>
        <v>9.7222222222221877E-3</v>
      </c>
      <c r="G11" s="29">
        <v>0.52708333333333335</v>
      </c>
      <c r="H11" s="38">
        <f t="shared" si="1"/>
        <v>5.0000000000000044E-2</v>
      </c>
      <c r="I11" s="30">
        <v>0.5756944444444444</v>
      </c>
      <c r="J11" s="38">
        <f t="shared" si="2"/>
        <v>4.8611111111111049E-2</v>
      </c>
      <c r="K11" s="31">
        <v>0.62708333333333333</v>
      </c>
      <c r="L11" s="38">
        <f t="shared" si="3"/>
        <v>5.1388888888888928E-2</v>
      </c>
      <c r="M11" s="31">
        <v>0.69027777777777777</v>
      </c>
      <c r="N11" s="38">
        <f t="shared" si="4"/>
        <v>6.3194444444444442E-2</v>
      </c>
      <c r="O11" s="32">
        <v>0.77430555555555547</v>
      </c>
      <c r="P11" s="38">
        <f t="shared" si="5"/>
        <v>8.4027777777777701E-2</v>
      </c>
      <c r="Q11" s="69"/>
      <c r="R11" s="69"/>
      <c r="S11" s="69"/>
      <c r="T11" s="69"/>
      <c r="U11" s="69"/>
      <c r="V11" s="69"/>
      <c r="W11" s="35">
        <v>7</v>
      </c>
      <c r="X11" s="35">
        <f>W11*5</f>
        <v>35</v>
      </c>
      <c r="Y11" s="36">
        <f t="shared" si="12"/>
        <v>0.35763888888888884</v>
      </c>
      <c r="Z11" s="37">
        <f t="shared" si="8"/>
        <v>9800</v>
      </c>
    </row>
    <row r="12" spans="1:26" s="72" customFormat="1">
      <c r="A12" s="73" t="s">
        <v>19</v>
      </c>
      <c r="B12" s="73">
        <v>11</v>
      </c>
      <c r="C12" s="26">
        <v>0.45555555555555555</v>
      </c>
      <c r="D12" s="39">
        <f>TIME(0,56,0)</f>
        <v>3.888888888888889E-2</v>
      </c>
      <c r="E12" s="26">
        <v>0.50138888888888888</v>
      </c>
      <c r="F12" s="39">
        <f t="shared" si="0"/>
        <v>4.5833333333333337E-2</v>
      </c>
      <c r="G12" s="9">
        <v>0.55138888888888882</v>
      </c>
      <c r="H12" s="39">
        <f t="shared" si="1"/>
        <v>4.9999999999999933E-2</v>
      </c>
      <c r="I12" s="10">
        <v>0.6118055555555556</v>
      </c>
      <c r="J12" s="39">
        <f t="shared" si="2"/>
        <v>6.0416666666666785E-2</v>
      </c>
      <c r="K12" s="11">
        <v>0.66666666666666663</v>
      </c>
      <c r="L12" s="39">
        <f t="shared" si="3"/>
        <v>5.4861111111111027E-2</v>
      </c>
      <c r="M12" s="11">
        <v>0.72916666666666663</v>
      </c>
      <c r="N12" s="39">
        <f t="shared" si="4"/>
        <v>6.25E-2</v>
      </c>
      <c r="O12" s="12">
        <v>0.80347222222222225</v>
      </c>
      <c r="P12" s="39">
        <f t="shared" si="5"/>
        <v>7.4305555555555625E-2</v>
      </c>
      <c r="Q12" s="73"/>
      <c r="R12" s="73"/>
      <c r="S12" s="73"/>
      <c r="T12" s="73"/>
      <c r="U12" s="73"/>
      <c r="V12" s="73"/>
      <c r="W12" s="15">
        <v>7</v>
      </c>
      <c r="X12" s="15">
        <f t="shared" ref="X12:X25" si="13">W12*5</f>
        <v>35</v>
      </c>
      <c r="Y12" s="16">
        <f t="shared" ref="Y12:Y13" si="14">SUM(D12+F12+H12+J12+L12+N12+P12+R12+T12+V12)</f>
        <v>0.38680555555555562</v>
      </c>
      <c r="Z12" s="17">
        <f t="shared" si="8"/>
        <v>9800</v>
      </c>
    </row>
    <row r="13" spans="1:26" s="70" customFormat="1">
      <c r="A13" s="69" t="s">
        <v>33</v>
      </c>
      <c r="B13" s="69">
        <v>12</v>
      </c>
      <c r="C13" s="28">
        <v>0.4694444444444445</v>
      </c>
      <c r="D13" s="38">
        <f>TIME(1,16,0)</f>
        <v>5.2777777777777778E-2</v>
      </c>
      <c r="E13" s="28">
        <v>0.52916666666666667</v>
      </c>
      <c r="F13" s="38">
        <f t="shared" si="0"/>
        <v>5.9722222222222177E-2</v>
      </c>
      <c r="G13" s="29">
        <v>0.59027777777777779</v>
      </c>
      <c r="H13" s="38">
        <f t="shared" si="1"/>
        <v>6.1111111111111116E-2</v>
      </c>
      <c r="I13" s="30">
        <v>0.65486111111111112</v>
      </c>
      <c r="J13" s="38">
        <f t="shared" si="2"/>
        <v>6.4583333333333326E-2</v>
      </c>
      <c r="K13" s="31">
        <v>0.72569444444444453</v>
      </c>
      <c r="L13" s="38">
        <f t="shared" si="3"/>
        <v>7.0833333333333415E-2</v>
      </c>
      <c r="M13" s="31">
        <v>0.80833333333333324</v>
      </c>
      <c r="N13" s="38">
        <f t="shared" si="4"/>
        <v>8.2638888888888706E-2</v>
      </c>
      <c r="O13" s="32">
        <v>0.88263888888888886</v>
      </c>
      <c r="P13" s="38">
        <f t="shared" si="5"/>
        <v>7.4305555555555625E-2</v>
      </c>
      <c r="Q13" s="69"/>
      <c r="R13" s="69"/>
      <c r="S13" s="69"/>
      <c r="T13" s="69"/>
      <c r="U13" s="69"/>
      <c r="V13" s="69"/>
      <c r="W13" s="35">
        <v>7</v>
      </c>
      <c r="X13" s="35">
        <f t="shared" si="13"/>
        <v>35</v>
      </c>
      <c r="Y13" s="36">
        <f t="shared" si="14"/>
        <v>0.46597222222222212</v>
      </c>
      <c r="Z13" s="37">
        <f t="shared" si="8"/>
        <v>9800</v>
      </c>
    </row>
    <row r="14" spans="1:26" s="72" customFormat="1">
      <c r="A14" s="73" t="s">
        <v>20</v>
      </c>
      <c r="B14" s="73">
        <v>13</v>
      </c>
      <c r="C14" s="26">
        <v>0.46388888888888885</v>
      </c>
      <c r="D14" s="39">
        <f>TIME(1,8,0)</f>
        <v>4.7222222222222221E-2</v>
      </c>
      <c r="E14" s="26">
        <v>0.51388888888888895</v>
      </c>
      <c r="F14" s="39">
        <f t="shared" si="0"/>
        <v>5.00000000000001E-2</v>
      </c>
      <c r="G14" s="9">
        <v>0.57708333333333328</v>
      </c>
      <c r="H14" s="39">
        <f t="shared" si="1"/>
        <v>6.3194444444444331E-2</v>
      </c>
      <c r="I14" s="10">
        <v>0.64583333333333337</v>
      </c>
      <c r="J14" s="39">
        <f t="shared" si="2"/>
        <v>6.8750000000000089E-2</v>
      </c>
      <c r="K14" s="11">
        <v>0.71666666666666667</v>
      </c>
      <c r="L14" s="39">
        <f t="shared" si="3"/>
        <v>7.0833333333333304E-2</v>
      </c>
      <c r="M14" s="11">
        <v>0.80069444444444438</v>
      </c>
      <c r="N14" s="39">
        <f t="shared" si="4"/>
        <v>8.4027777777777701E-2</v>
      </c>
      <c r="O14" s="12">
        <v>0.88958333333333339</v>
      </c>
      <c r="P14" s="39">
        <f t="shared" si="5"/>
        <v>8.8888888888889017E-2</v>
      </c>
      <c r="Q14" s="73"/>
      <c r="R14" s="73"/>
      <c r="S14" s="73"/>
      <c r="T14" s="73"/>
      <c r="U14" s="73"/>
      <c r="V14" s="73"/>
      <c r="W14" s="15">
        <v>7</v>
      </c>
      <c r="X14" s="15">
        <f t="shared" si="13"/>
        <v>35</v>
      </c>
      <c r="Y14" s="16">
        <f>SUM(D14+F14+H14+J14+L14+N14+P14+R14+T14+V14)</f>
        <v>0.47291666666666676</v>
      </c>
      <c r="Z14" s="17">
        <f t="shared" si="8"/>
        <v>9800</v>
      </c>
    </row>
    <row r="15" spans="1:26" s="70" customFormat="1">
      <c r="A15" s="69" t="s">
        <v>9</v>
      </c>
      <c r="B15" s="69">
        <v>14</v>
      </c>
      <c r="C15" s="28">
        <v>0.47013888888888888</v>
      </c>
      <c r="D15" s="38">
        <f>TIME(1,17,0)</f>
        <v>5.347222222222222E-2</v>
      </c>
      <c r="E15" s="28">
        <v>0.53541666666666665</v>
      </c>
      <c r="F15" s="38">
        <f t="shared" si="0"/>
        <v>6.5277777777777768E-2</v>
      </c>
      <c r="G15" s="29">
        <v>0.59027777777777779</v>
      </c>
      <c r="H15" s="38">
        <f t="shared" si="1"/>
        <v>5.4861111111111138E-2</v>
      </c>
      <c r="I15" s="30">
        <v>0.65</v>
      </c>
      <c r="J15" s="38">
        <f t="shared" si="2"/>
        <v>5.9722222222222232E-2</v>
      </c>
      <c r="K15" s="31">
        <v>0.71666666666666667</v>
      </c>
      <c r="L15" s="38">
        <f t="shared" si="3"/>
        <v>6.6666666666666652E-2</v>
      </c>
      <c r="M15" s="31">
        <v>0.80069444444444438</v>
      </c>
      <c r="N15" s="38">
        <f t="shared" si="4"/>
        <v>8.4027777777777701E-2</v>
      </c>
      <c r="O15" s="32">
        <v>0.88958333333333339</v>
      </c>
      <c r="P15" s="38">
        <f t="shared" si="5"/>
        <v>8.8888888888889017E-2</v>
      </c>
      <c r="Q15" s="69"/>
      <c r="R15" s="69"/>
      <c r="S15" s="69"/>
      <c r="T15" s="69"/>
      <c r="U15" s="69"/>
      <c r="V15" s="69"/>
      <c r="W15" s="35">
        <v>7</v>
      </c>
      <c r="X15" s="35">
        <f t="shared" si="13"/>
        <v>35</v>
      </c>
      <c r="Y15" s="36">
        <f>SUM(D15+F15+H15+J15+L15+N15+P15+R15+T15+V15)</f>
        <v>0.47291666666666676</v>
      </c>
      <c r="Z15" s="37">
        <f t="shared" si="8"/>
        <v>9800</v>
      </c>
    </row>
    <row r="16" spans="1:26" s="72" customFormat="1">
      <c r="A16" s="73" t="s">
        <v>21</v>
      </c>
      <c r="B16" s="73">
        <v>15</v>
      </c>
      <c r="C16" s="26">
        <v>0.4597222222222222</v>
      </c>
      <c r="D16" s="39">
        <f>TIME(1,2,0)</f>
        <v>4.3055555555555562E-2</v>
      </c>
      <c r="E16" s="26">
        <v>0.50416666666666665</v>
      </c>
      <c r="F16" s="39">
        <f t="shared" si="0"/>
        <v>4.4444444444444453E-2</v>
      </c>
      <c r="G16" s="9">
        <v>0.55208333333333337</v>
      </c>
      <c r="H16" s="39">
        <f t="shared" si="1"/>
        <v>4.7916666666666718E-2</v>
      </c>
      <c r="I16" s="10">
        <v>0.6020833333333333</v>
      </c>
      <c r="J16" s="39">
        <f t="shared" si="2"/>
        <v>4.9999999999999933E-2</v>
      </c>
      <c r="K16" s="11">
        <v>0.65416666666666667</v>
      </c>
      <c r="L16" s="39">
        <f t="shared" si="3"/>
        <v>5.208333333333337E-2</v>
      </c>
      <c r="M16" s="11">
        <v>0.71319444444444446</v>
      </c>
      <c r="N16" s="39">
        <f t="shared" si="4"/>
        <v>5.902777777777779E-2</v>
      </c>
      <c r="O16" s="73"/>
      <c r="P16" s="73"/>
      <c r="Q16" s="73"/>
      <c r="R16" s="73"/>
      <c r="S16" s="73"/>
      <c r="T16" s="73"/>
      <c r="U16" s="73"/>
      <c r="V16" s="73"/>
      <c r="W16" s="73">
        <v>6</v>
      </c>
      <c r="X16" s="15">
        <f t="shared" si="13"/>
        <v>30</v>
      </c>
      <c r="Y16" s="16">
        <f t="shared" ref="Y16:Y20" si="15">SUM(D16+F16+H16+J16+L16+N16+P16+R16+T16+V16)</f>
        <v>0.29652777777777783</v>
      </c>
      <c r="Z16" s="17">
        <f t="shared" ref="Z16:Z20" si="16">W16*1400</f>
        <v>8400</v>
      </c>
    </row>
    <row r="17" spans="1:26" s="70" customFormat="1">
      <c r="A17" s="69" t="s">
        <v>39</v>
      </c>
      <c r="B17" s="69">
        <v>16</v>
      </c>
      <c r="C17" s="28">
        <v>0.46458333333333335</v>
      </c>
      <c r="D17" s="38">
        <f>TIME(1,9,0)</f>
        <v>4.7916666666666663E-2</v>
      </c>
      <c r="E17" s="28">
        <v>0.51388888888888895</v>
      </c>
      <c r="F17" s="38">
        <f t="shared" si="0"/>
        <v>4.9305555555555602E-2</v>
      </c>
      <c r="G17" s="29">
        <v>0.56041666666666667</v>
      </c>
      <c r="H17" s="38">
        <f t="shared" si="1"/>
        <v>4.6527777777777724E-2</v>
      </c>
      <c r="I17" s="30">
        <v>0.62430555555555556</v>
      </c>
      <c r="J17" s="38">
        <f t="shared" si="2"/>
        <v>6.3888888888888884E-2</v>
      </c>
      <c r="K17" s="31">
        <v>0.67638888888888893</v>
      </c>
      <c r="L17" s="38">
        <f t="shared" si="3"/>
        <v>5.208333333333337E-2</v>
      </c>
      <c r="M17" s="31">
        <v>0.73541666666666661</v>
      </c>
      <c r="N17" s="38">
        <f t="shared" si="4"/>
        <v>5.9027777777777679E-2</v>
      </c>
      <c r="O17" s="69"/>
      <c r="P17" s="69"/>
      <c r="Q17" s="69"/>
      <c r="R17" s="69"/>
      <c r="S17" s="69"/>
      <c r="T17" s="69"/>
      <c r="U17" s="69"/>
      <c r="V17" s="69"/>
      <c r="W17" s="69">
        <v>6</v>
      </c>
      <c r="X17" s="35">
        <f t="shared" si="13"/>
        <v>30</v>
      </c>
      <c r="Y17" s="36">
        <f t="shared" si="15"/>
        <v>0.31874999999999992</v>
      </c>
      <c r="Z17" s="37">
        <f t="shared" si="16"/>
        <v>8400</v>
      </c>
    </row>
    <row r="18" spans="1:26" s="72" customFormat="1">
      <c r="A18" s="73" t="s">
        <v>22</v>
      </c>
      <c r="B18" s="73">
        <v>17</v>
      </c>
      <c r="C18" s="26">
        <v>0.46249999999999997</v>
      </c>
      <c r="D18" s="39">
        <f>TIME(1,6,0)</f>
        <v>4.5833333333333337E-2</v>
      </c>
      <c r="E18" s="26">
        <v>0.51874999999999993</v>
      </c>
      <c r="F18" s="39">
        <f t="shared" si="0"/>
        <v>5.6249999999999967E-2</v>
      </c>
      <c r="G18" s="9">
        <v>0.5708333333333333</v>
      </c>
      <c r="H18" s="39">
        <f t="shared" si="1"/>
        <v>5.208333333333337E-2</v>
      </c>
      <c r="I18" s="10">
        <v>0.65416666666666667</v>
      </c>
      <c r="J18" s="39">
        <f t="shared" si="2"/>
        <v>8.333333333333337E-2</v>
      </c>
      <c r="K18" s="11">
        <v>0.68819444444444444</v>
      </c>
      <c r="L18" s="39">
        <f t="shared" si="3"/>
        <v>3.4027777777777768E-2</v>
      </c>
      <c r="M18" s="11">
        <v>0.75694444444444453</v>
      </c>
      <c r="N18" s="39">
        <f t="shared" si="4"/>
        <v>6.8750000000000089E-2</v>
      </c>
      <c r="O18" s="73"/>
      <c r="P18" s="73"/>
      <c r="Q18" s="73"/>
      <c r="R18" s="73"/>
      <c r="S18" s="73"/>
      <c r="T18" s="73"/>
      <c r="U18" s="73"/>
      <c r="V18" s="73"/>
      <c r="W18" s="73">
        <v>6</v>
      </c>
      <c r="X18" s="73">
        <v>30</v>
      </c>
      <c r="Y18" s="73"/>
      <c r="Z18" s="73"/>
    </row>
    <row r="19" spans="1:26" s="70" customFormat="1">
      <c r="A19" s="69" t="s">
        <v>34</v>
      </c>
      <c r="B19" s="69">
        <v>18</v>
      </c>
      <c r="C19" s="28">
        <v>0.47083333333333338</v>
      </c>
      <c r="D19" s="38">
        <f>TIME(1,18,0)</f>
        <v>5.4166666666666669E-2</v>
      </c>
      <c r="E19" s="28">
        <v>0.52986111111111112</v>
      </c>
      <c r="F19" s="38">
        <f t="shared" si="0"/>
        <v>5.9027777777777735E-2</v>
      </c>
      <c r="G19" s="29">
        <v>0.59097222222222223</v>
      </c>
      <c r="H19" s="38">
        <f t="shared" si="1"/>
        <v>6.1111111111111116E-2</v>
      </c>
      <c r="I19" s="30">
        <v>0.66527777777777775</v>
      </c>
      <c r="J19" s="38">
        <f t="shared" si="2"/>
        <v>7.4305555555555514E-2</v>
      </c>
      <c r="K19" s="31">
        <v>0.73263888888888884</v>
      </c>
      <c r="L19" s="38">
        <f t="shared" si="3"/>
        <v>6.7361111111111094E-2</v>
      </c>
      <c r="M19" s="31">
        <v>0.81736111111111109</v>
      </c>
      <c r="N19" s="38">
        <f t="shared" si="4"/>
        <v>8.4722222222222254E-2</v>
      </c>
      <c r="O19" s="69"/>
      <c r="P19" s="69"/>
      <c r="Q19" s="69"/>
      <c r="R19" s="69"/>
      <c r="S19" s="69"/>
      <c r="T19" s="69"/>
      <c r="U19" s="69"/>
      <c r="V19" s="69"/>
      <c r="W19" s="69">
        <v>6</v>
      </c>
      <c r="X19" s="35">
        <f t="shared" si="13"/>
        <v>30</v>
      </c>
      <c r="Y19" s="36">
        <f t="shared" si="15"/>
        <v>0.40069444444444435</v>
      </c>
      <c r="Z19" s="37">
        <f t="shared" si="16"/>
        <v>8400</v>
      </c>
    </row>
    <row r="20" spans="1:26" s="72" customFormat="1">
      <c r="A20" s="73" t="s">
        <v>80</v>
      </c>
      <c r="B20" s="73">
        <v>19</v>
      </c>
      <c r="C20" s="26">
        <v>0.47013888888888888</v>
      </c>
      <c r="D20" s="39">
        <f>TIME(1,17,0)</f>
        <v>5.347222222222222E-2</v>
      </c>
      <c r="E20" s="26">
        <v>0.53472222222222221</v>
      </c>
      <c r="F20" s="39">
        <f t="shared" si="0"/>
        <v>6.4583333333333326E-2</v>
      </c>
      <c r="G20" s="9">
        <v>0.60763888888888895</v>
      </c>
      <c r="H20" s="39">
        <f t="shared" si="1"/>
        <v>7.2916666666666741E-2</v>
      </c>
      <c r="I20" s="10">
        <v>0.68819444444444444</v>
      </c>
      <c r="J20" s="39">
        <f t="shared" si="2"/>
        <v>8.0555555555555491E-2</v>
      </c>
      <c r="K20" s="11">
        <v>0.76527777777777783</v>
      </c>
      <c r="L20" s="39">
        <f t="shared" si="3"/>
        <v>7.7083333333333393E-2</v>
      </c>
      <c r="M20" s="11">
        <v>0.84861111111111109</v>
      </c>
      <c r="N20" s="39">
        <f t="shared" si="4"/>
        <v>8.3333333333333259E-2</v>
      </c>
      <c r="O20" s="73"/>
      <c r="P20" s="73"/>
      <c r="Q20" s="73"/>
      <c r="R20" s="73"/>
      <c r="S20" s="73"/>
      <c r="T20" s="73"/>
      <c r="U20" s="73"/>
      <c r="V20" s="73"/>
      <c r="W20" s="73">
        <v>6</v>
      </c>
      <c r="X20" s="15">
        <f t="shared" si="13"/>
        <v>30</v>
      </c>
      <c r="Y20" s="16">
        <f t="shared" si="15"/>
        <v>0.43194444444444446</v>
      </c>
      <c r="Z20" s="17">
        <f t="shared" si="16"/>
        <v>8400</v>
      </c>
    </row>
    <row r="21" spans="1:26" s="70" customFormat="1">
      <c r="A21" s="69" t="s">
        <v>35</v>
      </c>
      <c r="B21" s="69">
        <v>20</v>
      </c>
      <c r="C21" s="28">
        <v>0.4548611111111111</v>
      </c>
      <c r="D21" s="38">
        <f>TIME(0,55,0)</f>
        <v>3.8194444444444441E-2</v>
      </c>
      <c r="E21" s="28">
        <v>0.51250000000000007</v>
      </c>
      <c r="F21" s="38">
        <f t="shared" si="0"/>
        <v>5.7638888888888962E-2</v>
      </c>
      <c r="G21" s="29">
        <v>0.5805555555555556</v>
      </c>
      <c r="H21" s="38">
        <f t="shared" si="1"/>
        <v>6.8055555555555536E-2</v>
      </c>
      <c r="I21" s="30">
        <v>0.65069444444444446</v>
      </c>
      <c r="J21" s="38">
        <f t="shared" si="2"/>
        <v>7.0138888888888862E-2</v>
      </c>
      <c r="K21" s="31">
        <v>0.72986111111111107</v>
      </c>
      <c r="L21" s="38">
        <f t="shared" si="3"/>
        <v>7.9166666666666607E-2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>
        <v>5</v>
      </c>
      <c r="X21" s="35">
        <f t="shared" si="13"/>
        <v>25</v>
      </c>
      <c r="Y21" s="36">
        <f t="shared" ref="Y21:Y32" si="17">SUM(D21+F21+H21+J21+L21+N21+P21+R21+T21+V21)</f>
        <v>0.31319444444444444</v>
      </c>
      <c r="Z21" s="37">
        <f t="shared" ref="Z21:Z32" si="18">W21*1400</f>
        <v>7000</v>
      </c>
    </row>
    <row r="22" spans="1:26" s="72" customFormat="1">
      <c r="A22" s="73" t="s">
        <v>23</v>
      </c>
      <c r="B22" s="73">
        <v>21</v>
      </c>
      <c r="C22" s="26">
        <v>0.46388888888888885</v>
      </c>
      <c r="D22" s="39">
        <f>TIME(1,8,0)</f>
        <v>4.7222222222222221E-2</v>
      </c>
      <c r="E22" s="26">
        <v>0.52152777777777781</v>
      </c>
      <c r="F22" s="39">
        <f t="shared" si="0"/>
        <v>5.7638888888888962E-2</v>
      </c>
      <c r="G22" s="9">
        <v>0.58611111111111114</v>
      </c>
      <c r="H22" s="39">
        <f t="shared" si="1"/>
        <v>6.4583333333333326E-2</v>
      </c>
      <c r="I22" s="10">
        <v>0.66041666666666665</v>
      </c>
      <c r="J22" s="39">
        <f t="shared" si="2"/>
        <v>7.4305555555555514E-2</v>
      </c>
      <c r="K22" s="11">
        <v>0.73611111111111116</v>
      </c>
      <c r="L22" s="39">
        <f t="shared" si="3"/>
        <v>7.5694444444444509E-2</v>
      </c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>
        <v>5</v>
      </c>
      <c r="X22" s="15">
        <f t="shared" si="13"/>
        <v>25</v>
      </c>
      <c r="Y22" s="16">
        <f t="shared" si="17"/>
        <v>0.31944444444444453</v>
      </c>
      <c r="Z22" s="17">
        <f t="shared" si="18"/>
        <v>7000</v>
      </c>
    </row>
    <row r="23" spans="1:26" s="70" customFormat="1">
      <c r="A23" s="69" t="s">
        <v>81</v>
      </c>
      <c r="B23" s="69">
        <v>22</v>
      </c>
      <c r="C23" s="28">
        <v>0.46597222222222223</v>
      </c>
      <c r="D23" s="38">
        <f>TIME(1,11,0)</f>
        <v>4.9305555555555554E-2</v>
      </c>
      <c r="E23" s="28">
        <v>0.51250000000000007</v>
      </c>
      <c r="F23" s="38">
        <f t="shared" si="0"/>
        <v>4.6527777777777835E-2</v>
      </c>
      <c r="G23" s="29">
        <v>0.57430555555555551</v>
      </c>
      <c r="H23" s="38">
        <f t="shared" si="1"/>
        <v>6.1805555555555447E-2</v>
      </c>
      <c r="I23" s="30">
        <v>0.67708333333333337</v>
      </c>
      <c r="J23" s="38">
        <f t="shared" si="2"/>
        <v>0.10277777777777786</v>
      </c>
      <c r="K23" s="31">
        <v>0.81805555555555554</v>
      </c>
      <c r="L23" s="38">
        <f t="shared" si="3"/>
        <v>0.14097222222222217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>
        <v>5</v>
      </c>
      <c r="X23" s="35">
        <f t="shared" si="13"/>
        <v>25</v>
      </c>
      <c r="Y23" s="36">
        <f t="shared" si="17"/>
        <v>0.40138888888888885</v>
      </c>
      <c r="Z23" s="37">
        <f t="shared" si="18"/>
        <v>7000</v>
      </c>
    </row>
    <row r="24" spans="1:26" s="72" customFormat="1">
      <c r="A24" s="73" t="s">
        <v>24</v>
      </c>
      <c r="B24" s="73">
        <v>23</v>
      </c>
      <c r="C24" s="26">
        <v>0.46388888888888885</v>
      </c>
      <c r="D24" s="39">
        <f>TIME(1,8,0)</f>
        <v>4.7222222222222221E-2</v>
      </c>
      <c r="E24" s="26">
        <v>0.52152777777777781</v>
      </c>
      <c r="F24" s="39">
        <f t="shared" si="0"/>
        <v>5.7638888888888962E-2</v>
      </c>
      <c r="G24" s="9">
        <v>0.5854166666666667</v>
      </c>
      <c r="H24" s="39">
        <f t="shared" si="1"/>
        <v>6.3888888888888884E-2</v>
      </c>
      <c r="I24" s="10">
        <v>0.65555555555555556</v>
      </c>
      <c r="J24" s="39">
        <f t="shared" si="2"/>
        <v>7.0138888888888862E-2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>
        <v>4</v>
      </c>
      <c r="X24" s="15">
        <f t="shared" si="13"/>
        <v>20</v>
      </c>
      <c r="Y24" s="16">
        <f t="shared" si="17"/>
        <v>0.23888888888888893</v>
      </c>
      <c r="Z24" s="17">
        <f t="shared" si="18"/>
        <v>5600</v>
      </c>
    </row>
    <row r="25" spans="1:26" s="70" customFormat="1">
      <c r="A25" s="69" t="s">
        <v>36</v>
      </c>
      <c r="B25" s="69">
        <v>24</v>
      </c>
      <c r="C25" s="28">
        <v>0.47152777777777777</v>
      </c>
      <c r="D25" s="38">
        <f>TIME(1,19,0)</f>
        <v>5.486111111111111E-2</v>
      </c>
      <c r="E25" s="28">
        <v>0.53194444444444444</v>
      </c>
      <c r="F25" s="38">
        <f t="shared" si="0"/>
        <v>6.0416666666666674E-2</v>
      </c>
      <c r="G25" s="29">
        <v>0.60555555555555551</v>
      </c>
      <c r="H25" s="38">
        <f t="shared" si="1"/>
        <v>7.3611111111111072E-2</v>
      </c>
      <c r="I25" s="30">
        <v>0.67361111111111116</v>
      </c>
      <c r="J25" s="38">
        <f t="shared" si="2"/>
        <v>6.8055555555555647E-2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>
        <v>4</v>
      </c>
      <c r="X25" s="69">
        <f t="shared" si="13"/>
        <v>20</v>
      </c>
      <c r="Y25" s="36">
        <f t="shared" si="17"/>
        <v>0.25694444444444453</v>
      </c>
      <c r="Z25" s="69">
        <f t="shared" si="18"/>
        <v>5600</v>
      </c>
    </row>
    <row r="26" spans="1:26" s="72" customFormat="1">
      <c r="A26" s="73" t="s">
        <v>25</v>
      </c>
      <c r="B26" s="73">
        <v>25</v>
      </c>
      <c r="C26" s="26">
        <v>0.47013888888888888</v>
      </c>
      <c r="D26" s="39">
        <f>TIME(1,17,0)</f>
        <v>5.347222222222222E-2</v>
      </c>
      <c r="E26" s="26">
        <v>0.53541666666666665</v>
      </c>
      <c r="F26" s="39">
        <f t="shared" si="0"/>
        <v>6.5277777777777768E-2</v>
      </c>
      <c r="G26" s="9">
        <v>0.60486111111111118</v>
      </c>
      <c r="H26" s="39">
        <f t="shared" si="1"/>
        <v>6.9444444444444531E-2</v>
      </c>
      <c r="I26" s="10">
        <v>0.67847222222222225</v>
      </c>
      <c r="J26" s="39">
        <f t="shared" si="2"/>
        <v>7.3611111111111072E-2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>
        <v>4</v>
      </c>
      <c r="X26" s="73">
        <v>20</v>
      </c>
      <c r="Y26" s="16">
        <f t="shared" si="17"/>
        <v>0.26180555555555562</v>
      </c>
      <c r="Z26" s="17">
        <f t="shared" si="18"/>
        <v>5600</v>
      </c>
    </row>
    <row r="27" spans="1:26" s="70" customFormat="1">
      <c r="A27" s="69" t="s">
        <v>37</v>
      </c>
      <c r="B27" s="69">
        <v>26</v>
      </c>
      <c r="C27" s="28">
        <v>0.48333333333333334</v>
      </c>
      <c r="D27" s="38">
        <f>TIME(1,36,0)</f>
        <v>6.6666666666666666E-2</v>
      </c>
      <c r="E27" s="28">
        <v>0.54791666666666672</v>
      </c>
      <c r="F27" s="38">
        <f t="shared" si="0"/>
        <v>6.4583333333333381E-2</v>
      </c>
      <c r="G27" s="29">
        <v>0.61527777777777781</v>
      </c>
      <c r="H27" s="38">
        <f t="shared" si="1"/>
        <v>6.7361111111111094E-2</v>
      </c>
      <c r="I27" s="30">
        <v>0.68333333333333324</v>
      </c>
      <c r="J27" s="38">
        <f t="shared" si="2"/>
        <v>6.8055555555555425E-2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>
        <v>4</v>
      </c>
      <c r="X27" s="69">
        <v>20</v>
      </c>
      <c r="Y27" s="36">
        <f t="shared" si="17"/>
        <v>0.26666666666666655</v>
      </c>
      <c r="Z27" s="69">
        <f t="shared" si="18"/>
        <v>5600</v>
      </c>
    </row>
    <row r="28" spans="1:26" s="72" customFormat="1">
      <c r="A28" s="73" t="s">
        <v>26</v>
      </c>
      <c r="B28" s="73">
        <v>27</v>
      </c>
      <c r="C28" s="26">
        <v>0.4826388888888889</v>
      </c>
      <c r="D28" s="39">
        <f>TIME(1,35,0)</f>
        <v>6.5972222222222224E-2</v>
      </c>
      <c r="E28" s="26">
        <v>0.54722222222222217</v>
      </c>
      <c r="F28" s="39">
        <f t="shared" si="0"/>
        <v>6.458333333333327E-2</v>
      </c>
      <c r="G28" s="9">
        <v>0.62013888888888891</v>
      </c>
      <c r="H28" s="39">
        <f t="shared" si="1"/>
        <v>7.2916666666666741E-2</v>
      </c>
      <c r="I28" s="10">
        <v>0.6875</v>
      </c>
      <c r="J28" s="39">
        <f t="shared" si="2"/>
        <v>6.7361111111111094E-2</v>
      </c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>
        <v>4</v>
      </c>
      <c r="X28" s="73">
        <v>20</v>
      </c>
      <c r="Y28" s="16">
        <f t="shared" si="17"/>
        <v>0.27083333333333331</v>
      </c>
      <c r="Z28" s="17">
        <f t="shared" si="18"/>
        <v>5600</v>
      </c>
    </row>
    <row r="29" spans="1:26" s="70" customFormat="1">
      <c r="A29" s="69" t="s">
        <v>38</v>
      </c>
      <c r="B29" s="69">
        <v>28</v>
      </c>
      <c r="C29" s="28">
        <v>0.47083333333333338</v>
      </c>
      <c r="D29" s="38">
        <f>TIME(1,18,0)</f>
        <v>5.4166666666666669E-2</v>
      </c>
      <c r="E29" s="28">
        <v>0.53680555555555554</v>
      </c>
      <c r="F29" s="38">
        <f t="shared" si="0"/>
        <v>6.5972222222222154E-2</v>
      </c>
      <c r="G29" s="29">
        <v>0.73263888888888884</v>
      </c>
      <c r="H29" s="38">
        <f t="shared" si="1"/>
        <v>0.1958333333333333</v>
      </c>
      <c r="I29" s="30">
        <v>0.81736111111111109</v>
      </c>
      <c r="J29" s="38">
        <f t="shared" si="2"/>
        <v>8.4722222222222254E-2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>
        <v>4</v>
      </c>
      <c r="X29" s="69">
        <v>20</v>
      </c>
      <c r="Y29" s="36">
        <f t="shared" si="17"/>
        <v>0.40069444444444435</v>
      </c>
      <c r="Z29" s="69">
        <f t="shared" si="18"/>
        <v>5600</v>
      </c>
    </row>
    <row r="30" spans="1:26" s="72" customFormat="1">
      <c r="A30" s="73" t="s">
        <v>27</v>
      </c>
      <c r="B30" s="73">
        <v>29</v>
      </c>
      <c r="C30" s="26">
        <v>0.45763888888888887</v>
      </c>
      <c r="D30" s="39">
        <f>TIME(0,59,0)</f>
        <v>4.0972222222222222E-2</v>
      </c>
      <c r="E30" s="26">
        <v>0.50624999999999998</v>
      </c>
      <c r="F30" s="39">
        <f t="shared" si="0"/>
        <v>4.8611111111111105E-2</v>
      </c>
      <c r="G30" s="9">
        <v>0.5625</v>
      </c>
      <c r="H30" s="39">
        <f t="shared" si="1"/>
        <v>5.6250000000000022E-2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>
        <v>3</v>
      </c>
      <c r="X30" s="73">
        <v>15</v>
      </c>
      <c r="Y30" s="16">
        <f t="shared" si="17"/>
        <v>0.14583333333333334</v>
      </c>
      <c r="Z30" s="17">
        <f t="shared" si="18"/>
        <v>4200</v>
      </c>
    </row>
    <row r="31" spans="1:26" s="68" customFormat="1">
      <c r="A31" s="67" t="s">
        <v>40</v>
      </c>
      <c r="B31" s="67">
        <v>30</v>
      </c>
      <c r="C31" s="28">
        <v>0.47083333333333338</v>
      </c>
      <c r="D31" s="38">
        <f>TIME(1,18,0)</f>
        <v>5.4166666666666669E-2</v>
      </c>
      <c r="E31" s="28">
        <v>0.53333333333333333</v>
      </c>
      <c r="F31" s="38">
        <f t="shared" si="0"/>
        <v>6.2499999999999944E-2</v>
      </c>
      <c r="G31" s="29">
        <v>0.58750000000000002</v>
      </c>
      <c r="H31" s="38">
        <f t="shared" si="1"/>
        <v>5.4166666666666696E-2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>
        <v>3</v>
      </c>
      <c r="X31" s="67">
        <v>15</v>
      </c>
      <c r="Y31" s="36">
        <f t="shared" si="17"/>
        <v>0.17083333333333331</v>
      </c>
      <c r="Z31" s="69">
        <f t="shared" si="18"/>
        <v>4200</v>
      </c>
    </row>
    <row r="32" spans="1:26" s="72" customFormat="1">
      <c r="A32" s="73" t="s">
        <v>41</v>
      </c>
      <c r="B32" s="73">
        <v>31</v>
      </c>
      <c r="C32" s="26">
        <v>0.46666666666666662</v>
      </c>
      <c r="D32" s="39">
        <f>TIME(1,12,0)</f>
        <v>4.9999999999999996E-2</v>
      </c>
      <c r="E32" s="26">
        <v>0.52777777777777779</v>
      </c>
      <c r="F32" s="39">
        <f t="shared" si="0"/>
        <v>6.1111111111111172E-2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>
        <v>2</v>
      </c>
      <c r="X32" s="73">
        <v>10</v>
      </c>
      <c r="Y32" s="16">
        <f t="shared" si="17"/>
        <v>0.11111111111111116</v>
      </c>
      <c r="Z32" s="17">
        <f t="shared" si="18"/>
        <v>2800</v>
      </c>
    </row>
    <row r="34" spans="1:24">
      <c r="D34" s="24" t="s">
        <v>84</v>
      </c>
      <c r="F34" s="24" t="s">
        <v>86</v>
      </c>
      <c r="H34" s="24" t="s">
        <v>88</v>
      </c>
      <c r="J34" s="24" t="s">
        <v>90</v>
      </c>
      <c r="L34" s="24" t="s">
        <v>92</v>
      </c>
      <c r="N34" s="24" t="s">
        <v>94</v>
      </c>
      <c r="P34" s="24" t="s">
        <v>0</v>
      </c>
      <c r="R34" s="24" t="s">
        <v>2</v>
      </c>
      <c r="T34" s="24" t="s">
        <v>4</v>
      </c>
      <c r="V34" s="24" t="s">
        <v>6</v>
      </c>
      <c r="X34" s="75" t="s">
        <v>43</v>
      </c>
    </row>
    <row r="35" spans="1:24">
      <c r="A35" s="71" t="s">
        <v>42</v>
      </c>
      <c r="D35" s="74">
        <f>AVERAGE(D2:D32)</f>
        <v>4.8409498207885301E-2</v>
      </c>
      <c r="F35" s="74">
        <f>AVERAGE(F2:F32)</f>
        <v>5.1814516129032269E-2</v>
      </c>
      <c r="H35" s="74">
        <f>AVERAGE(H2:H32)</f>
        <v>6.1574074074074066E-2</v>
      </c>
      <c r="J35" s="74">
        <f>AVERAGE(J2:J32)</f>
        <v>6.4062499999999994E-2</v>
      </c>
      <c r="L35" s="74">
        <f>AVERAGE(L2:L32)</f>
        <v>6.2910353535353541E-2</v>
      </c>
      <c r="N35" s="74">
        <f>AVERAGE(N2:N32)</f>
        <v>6.4071637426900557E-2</v>
      </c>
      <c r="P35" s="74">
        <f>AVERAGE(P2:P32)</f>
        <v>6.6269841269841284E-2</v>
      </c>
      <c r="R35" s="74">
        <f>AVERAGE(R2:R32)</f>
        <v>6.1651234567901239E-2</v>
      </c>
      <c r="T35" s="74">
        <f>AVERAGE(T2:T32)</f>
        <v>5.5092592592592582E-2</v>
      </c>
      <c r="V35" s="74">
        <f>AVERAGE(V2:V32)</f>
        <v>5.0416666666666707E-2</v>
      </c>
      <c r="X35" s="74">
        <f>AVERAGE(V35,T35,R35,P35,N35,L35,J35,H35,F35,D35)</f>
        <v>5.8627291447024756E-2</v>
      </c>
    </row>
  </sheetData>
  <phoneticPr fontId="2" type="noConversion"/>
  <pageMargins left="0.75" right="0.75" top="9.6666666666666665E-2" bottom="1" header="0" footer="0.5"/>
  <pageSetup paperSize="3" scale="24" orientation="portrait" horizontalDpi="4294967292" verticalDpi="4294967292"/>
  <colBreaks count="1" manualBreakCount="1">
    <brk id="26" max="1048575" man="1"/>
  </col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6"/>
  <sheetViews>
    <sheetView workbookViewId="0">
      <selection activeCell="Z26" sqref="Z26"/>
    </sheetView>
  </sheetViews>
  <sheetFormatPr baseColWidth="10" defaultRowHeight="13"/>
  <sheetData>
    <row r="1" spans="1:26" s="42" customFormat="1" ht="15" customHeight="1">
      <c r="A1" s="40" t="s">
        <v>82</v>
      </c>
      <c r="B1" s="41" t="s">
        <v>11</v>
      </c>
      <c r="C1" s="40" t="s">
        <v>83</v>
      </c>
      <c r="D1" s="40" t="s">
        <v>84</v>
      </c>
      <c r="E1" s="40" t="s">
        <v>85</v>
      </c>
      <c r="F1" s="40" t="s">
        <v>86</v>
      </c>
      <c r="G1" s="40" t="s">
        <v>87</v>
      </c>
      <c r="H1" s="40" t="s">
        <v>88</v>
      </c>
      <c r="I1" s="40" t="s">
        <v>89</v>
      </c>
      <c r="J1" s="40" t="s">
        <v>90</v>
      </c>
      <c r="K1" s="40" t="s">
        <v>91</v>
      </c>
      <c r="L1" s="40" t="s">
        <v>92</v>
      </c>
      <c r="M1" s="40" t="s">
        <v>93</v>
      </c>
      <c r="N1" s="40" t="s">
        <v>94</v>
      </c>
      <c r="O1" s="40" t="s">
        <v>95</v>
      </c>
      <c r="P1" s="40" t="s">
        <v>0</v>
      </c>
      <c r="Q1" s="40" t="s">
        <v>1</v>
      </c>
      <c r="R1" s="40" t="s">
        <v>2</v>
      </c>
      <c r="S1" s="40" t="s">
        <v>3</v>
      </c>
      <c r="T1" s="40" t="s">
        <v>4</v>
      </c>
      <c r="U1" s="40" t="s">
        <v>5</v>
      </c>
      <c r="V1" s="40" t="s">
        <v>6</v>
      </c>
      <c r="W1" s="1" t="s">
        <v>44</v>
      </c>
      <c r="X1" s="2" t="s">
        <v>45</v>
      </c>
      <c r="Y1" s="2" t="s">
        <v>46</v>
      </c>
      <c r="Z1" s="3" t="s">
        <v>47</v>
      </c>
    </row>
    <row r="2" spans="1:26" s="42" customFormat="1" ht="15" customHeight="1">
      <c r="A2" s="23" t="s">
        <v>48</v>
      </c>
      <c r="B2" s="43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4"/>
      <c r="X2" s="44"/>
      <c r="Y2" s="44"/>
      <c r="Z2" s="44"/>
    </row>
    <row r="3" spans="1:26" s="49" customFormat="1" ht="18">
      <c r="A3" s="45" t="s">
        <v>49</v>
      </c>
      <c r="B3" s="46">
        <v>1</v>
      </c>
      <c r="C3" s="45">
        <f>TIME(0,57,55)</f>
        <v>4.0219907407407406E-2</v>
      </c>
      <c r="D3" s="45">
        <f>C3</f>
        <v>4.0219907407407406E-2</v>
      </c>
      <c r="E3" s="45">
        <f>TIME(2,1,0)</f>
        <v>8.4027777777777771E-2</v>
      </c>
      <c r="F3" s="45">
        <f t="shared" ref="F3:F15" si="0">E3-C3</f>
        <v>4.3807870370370365E-2</v>
      </c>
      <c r="G3" s="45">
        <f>TIME(3,6,0)</f>
        <v>0.12916666666666668</v>
      </c>
      <c r="H3" s="45">
        <f t="shared" ref="H3:H14" si="1">G3-E3</f>
        <v>4.5138888888888909E-2</v>
      </c>
      <c r="I3" s="45">
        <f>TIME(4,9,0)</f>
        <v>0.17291666666666669</v>
      </c>
      <c r="J3" s="45">
        <f t="shared" ref="J3:J12" si="2">I3-G3</f>
        <v>4.3750000000000011E-2</v>
      </c>
      <c r="K3" s="45">
        <f>TIME(5,14,0)</f>
        <v>0.21805555555555556</v>
      </c>
      <c r="L3" s="45">
        <f t="shared" ref="L3:L11" si="3">K3-I3</f>
        <v>4.5138888888888867E-2</v>
      </c>
      <c r="M3" s="45">
        <f>TIME(6,15,0)</f>
        <v>0.26041666666666669</v>
      </c>
      <c r="N3" s="45">
        <f t="shared" ref="N3:N8" si="4">M3-K3</f>
        <v>4.2361111111111127E-2</v>
      </c>
      <c r="O3" s="45">
        <f>TIME(7,20,0)</f>
        <v>0.30555555555555552</v>
      </c>
      <c r="P3" s="45">
        <f>O3-M3</f>
        <v>4.513888888888884E-2</v>
      </c>
      <c r="Q3" s="45">
        <f>TIME(8,30,0)</f>
        <v>0.35416666666666669</v>
      </c>
      <c r="R3" s="45">
        <f>Q3-O3</f>
        <v>4.861111111111116E-2</v>
      </c>
      <c r="S3" s="45">
        <f>TIME(9,40,0)</f>
        <v>0.40277777777777773</v>
      </c>
      <c r="T3" s="45">
        <f>S3-Q3</f>
        <v>4.8611111111111049E-2</v>
      </c>
      <c r="U3" s="45">
        <f>TIME(10,50,0)</f>
        <v>0.4513888888888889</v>
      </c>
      <c r="V3" s="45">
        <f>U3-S3</f>
        <v>4.861111111111116E-2</v>
      </c>
      <c r="W3" s="47">
        <v>10</v>
      </c>
      <c r="X3" s="47">
        <v>50</v>
      </c>
      <c r="Y3" s="48" t="e">
        <f>SUM(D3+F3+H3)+J3+L3+N3+P3+R3+T3+V3+#REF!+#REF!+#REF!</f>
        <v>#REF!</v>
      </c>
      <c r="Z3" s="47" t="s">
        <v>50</v>
      </c>
    </row>
    <row r="4" spans="1:26" s="52" customFormat="1" ht="18">
      <c r="A4" s="50" t="s">
        <v>51</v>
      </c>
      <c r="B4" s="4" t="s">
        <v>52</v>
      </c>
      <c r="C4" s="51">
        <f>TIME(0,58,16)</f>
        <v>4.0462962962962964E-2</v>
      </c>
      <c r="D4" s="51">
        <f>C4</f>
        <v>4.0462962962962964E-2</v>
      </c>
      <c r="E4" s="51">
        <f>TIME(2,11,0)</f>
        <v>9.0972222222222218E-2</v>
      </c>
      <c r="F4" s="51">
        <f t="shared" si="0"/>
        <v>5.0509259259259254E-2</v>
      </c>
      <c r="G4" s="51">
        <f>TIME(3,6,0)</f>
        <v>0.12916666666666668</v>
      </c>
      <c r="H4" s="51">
        <f t="shared" si="1"/>
        <v>3.8194444444444461E-2</v>
      </c>
      <c r="I4" s="51">
        <f>TIME(4,14,0)</f>
        <v>0.1763888888888889</v>
      </c>
      <c r="J4" s="51">
        <f t="shared" si="2"/>
        <v>4.7222222222222221E-2</v>
      </c>
      <c r="K4" s="51">
        <f>TIME(5,26,0)</f>
        <v>0.22638888888888889</v>
      </c>
      <c r="L4" s="51">
        <f t="shared" si="3"/>
        <v>4.9999999999999989E-2</v>
      </c>
      <c r="M4" s="51">
        <f>TIME(6,27,0)</f>
        <v>0.26874999999999999</v>
      </c>
      <c r="N4" s="51">
        <f t="shared" si="4"/>
        <v>4.2361111111111099E-2</v>
      </c>
      <c r="O4" s="51">
        <f>TIME(7,35,0)</f>
        <v>0.31597222222222221</v>
      </c>
      <c r="P4" s="51">
        <f>O4-M4</f>
        <v>4.7222222222222221E-2</v>
      </c>
      <c r="Q4" s="51">
        <f>TIME(8,43,0)</f>
        <v>0.36319444444444443</v>
      </c>
      <c r="R4" s="51">
        <f>Q4-O4</f>
        <v>4.7222222222222221E-2</v>
      </c>
      <c r="S4" s="51">
        <f>TIME(9,53,)</f>
        <v>0.41180555555555554</v>
      </c>
      <c r="T4" s="51">
        <f>S4-Q4</f>
        <v>4.8611111111111105E-2</v>
      </c>
      <c r="U4" s="51">
        <f>TIME(11,8,0)</f>
        <v>0.46388888888888885</v>
      </c>
      <c r="V4" s="51">
        <f>U4-S4</f>
        <v>5.2083333333333315E-2</v>
      </c>
      <c r="W4" s="5">
        <v>10</v>
      </c>
      <c r="X4" s="5">
        <v>50</v>
      </c>
      <c r="Y4" s="6" t="e">
        <f>SUM(D4+F4+H4)+J4+L4+N4+P4+R4+T4+V4+#REF!+#REF!+#REF!</f>
        <v>#REF!</v>
      </c>
      <c r="Z4" s="7">
        <f>W4*1400</f>
        <v>14000</v>
      </c>
    </row>
    <row r="5" spans="1:26" s="56" customFormat="1" ht="21" customHeight="1">
      <c r="A5" s="53" t="s">
        <v>53</v>
      </c>
      <c r="B5" s="54" t="s">
        <v>54</v>
      </c>
      <c r="C5" s="45">
        <f>TIME(0,55,26)</f>
        <v>3.8495370370370367E-2</v>
      </c>
      <c r="D5" s="45">
        <f>C5</f>
        <v>3.8495370370370367E-2</v>
      </c>
      <c r="E5" s="45">
        <f>TIME(1,52,0)</f>
        <v>7.7777777777777779E-2</v>
      </c>
      <c r="F5" s="45">
        <f t="shared" si="0"/>
        <v>3.9282407407407412E-2</v>
      </c>
      <c r="G5" s="55">
        <f>TIME(2,53,0)</f>
        <v>0.12013888888888889</v>
      </c>
      <c r="H5" s="45">
        <f t="shared" si="1"/>
        <v>4.2361111111111113E-2</v>
      </c>
      <c r="I5" s="55">
        <f>TIME(4,0,0)</f>
        <v>0.16666666666666666</v>
      </c>
      <c r="J5" s="45">
        <f t="shared" si="2"/>
        <v>4.6527777777777765E-2</v>
      </c>
      <c r="K5" s="55">
        <f>TIME(5,11,0)</f>
        <v>0.21597222222222223</v>
      </c>
      <c r="L5" s="45">
        <f t="shared" si="3"/>
        <v>4.9305555555555575E-2</v>
      </c>
      <c r="M5" s="55">
        <f>TIME(6,21,0)</f>
        <v>0.26458333333333334</v>
      </c>
      <c r="N5" s="45">
        <f t="shared" si="4"/>
        <v>4.8611111111111105E-2</v>
      </c>
      <c r="O5" s="53">
        <f>TIME(7,39,0)</f>
        <v>0.31875000000000003</v>
      </c>
      <c r="P5" s="45">
        <f>O5-M5</f>
        <v>5.4166666666666696E-2</v>
      </c>
      <c r="Q5" s="53">
        <f>TIME(9,8,0)</f>
        <v>0.38055555555555554</v>
      </c>
      <c r="R5" s="45">
        <f>Q5-O5</f>
        <v>6.1805555555555503E-2</v>
      </c>
      <c r="S5" s="53">
        <f>TIME(10,55,0)</f>
        <v>0.4548611111111111</v>
      </c>
      <c r="T5" s="45">
        <f>S5-Q5</f>
        <v>7.4305555555555569E-2</v>
      </c>
      <c r="U5" s="53"/>
      <c r="V5" s="53"/>
      <c r="W5" s="56">
        <v>9</v>
      </c>
      <c r="X5" s="56">
        <v>45</v>
      </c>
      <c r="Y5" s="48" t="e">
        <f>SUM(D5+F5+H5)+J5+L5+N5+P5+R5+T5+V5+#REF!+#REF!+#REF!</f>
        <v>#REF!</v>
      </c>
      <c r="Z5" s="57">
        <f>W5*1400</f>
        <v>12600</v>
      </c>
    </row>
    <row r="6" spans="1:26" s="52" customFormat="1" ht="18">
      <c r="A6" s="58" t="s">
        <v>55</v>
      </c>
      <c r="B6" s="4" t="s">
        <v>56</v>
      </c>
      <c r="C6" s="51">
        <f>TIME(0,47,51)</f>
        <v>3.3229166666666664E-2</v>
      </c>
      <c r="D6" s="51">
        <f>C6</f>
        <v>3.3229166666666664E-2</v>
      </c>
      <c r="E6" s="51">
        <f>TIME(1,47,2)</f>
        <v>7.4328703703703702E-2</v>
      </c>
      <c r="F6" s="51">
        <f t="shared" si="0"/>
        <v>4.1099537037037039E-2</v>
      </c>
      <c r="G6" s="51">
        <f>TIME(2,49,0)</f>
        <v>0.1173611111111111</v>
      </c>
      <c r="H6" s="59">
        <f t="shared" si="1"/>
        <v>4.3032407407407394E-2</v>
      </c>
      <c r="I6" s="51">
        <f>TIME(4,1,0)</f>
        <v>0.1673611111111111</v>
      </c>
      <c r="J6" s="59">
        <f t="shared" si="2"/>
        <v>0.05</v>
      </c>
      <c r="K6" s="51">
        <f>TIME(5,13,0)</f>
        <v>0.21736111111111112</v>
      </c>
      <c r="L6" s="51">
        <f t="shared" si="3"/>
        <v>5.0000000000000017E-2</v>
      </c>
      <c r="M6" s="59">
        <f>TIME(6,26,0)</f>
        <v>0.26805555555555555</v>
      </c>
      <c r="N6" s="51">
        <f t="shared" si="4"/>
        <v>5.0694444444444431E-2</v>
      </c>
      <c r="O6" s="51">
        <f>TIME(7,52,0)</f>
        <v>0.32777777777777778</v>
      </c>
      <c r="P6" s="59">
        <f>O6-M6</f>
        <v>5.9722222222222232E-2</v>
      </c>
      <c r="Q6" s="60"/>
      <c r="R6" s="50"/>
      <c r="S6" s="60"/>
      <c r="T6" s="50"/>
      <c r="U6" s="60"/>
      <c r="V6" s="61"/>
      <c r="W6" s="5">
        <v>7</v>
      </c>
      <c r="X6" s="5">
        <v>35</v>
      </c>
      <c r="Y6" s="6" t="e">
        <f>SUM(D6+F6+H6)+J6+L6+N6+P6+R6+T6+V6+#REF!+#REF!+#REF!</f>
        <v>#REF!</v>
      </c>
      <c r="Z6" s="7" t="s">
        <v>57</v>
      </c>
    </row>
    <row r="7" spans="1:26" s="56" customFormat="1" ht="18">
      <c r="A7" s="62" t="s">
        <v>58</v>
      </c>
      <c r="B7" s="46" t="s">
        <v>59</v>
      </c>
      <c r="C7" s="45">
        <f>TIME(1,12,0)</f>
        <v>4.9999999999999996E-2</v>
      </c>
      <c r="D7" s="45">
        <f>TIME(1,12,13)</f>
        <v>5.0150462962962966E-2</v>
      </c>
      <c r="E7" s="45">
        <f>TIME(2,34,0)</f>
        <v>0.10694444444444444</v>
      </c>
      <c r="F7" s="45">
        <f t="shared" si="0"/>
        <v>5.6944444444444443E-2</v>
      </c>
      <c r="G7" s="45">
        <f>TIME(4,0,24)</f>
        <v>0.16694444444444445</v>
      </c>
      <c r="H7" s="62">
        <f t="shared" si="1"/>
        <v>6.0000000000000012E-2</v>
      </c>
      <c r="I7" s="45">
        <f>TIME(5,26,45)</f>
        <v>0.22690972222222225</v>
      </c>
      <c r="J7" s="63">
        <f t="shared" si="2"/>
        <v>5.9965277777777798E-2</v>
      </c>
      <c r="K7" s="45">
        <f>TIME(6,53,54)</f>
        <v>0.28743055555555558</v>
      </c>
      <c r="L7" s="45">
        <f t="shared" si="3"/>
        <v>6.0520833333333329E-2</v>
      </c>
      <c r="M7" s="63">
        <f>TIME(8,40,0)</f>
        <v>0.3611111111111111</v>
      </c>
      <c r="N7" s="45">
        <f t="shared" si="4"/>
        <v>7.3680555555555527E-2</v>
      </c>
      <c r="O7" s="45">
        <f>TIME(11,6,0)</f>
        <v>0.46249999999999997</v>
      </c>
      <c r="P7" s="63">
        <f>O7-M7</f>
        <v>0.10138888888888886</v>
      </c>
      <c r="Q7" s="64"/>
      <c r="R7" s="62"/>
      <c r="S7" s="64"/>
      <c r="T7" s="62"/>
      <c r="U7" s="64"/>
      <c r="V7" s="53"/>
      <c r="W7" s="65">
        <v>7</v>
      </c>
      <c r="X7" s="65">
        <v>35</v>
      </c>
      <c r="Y7" s="48" t="e">
        <f>SUM(D7+F7+H7)+J7+L7+N7+P7+R7+T7+V7+#REF!+#REF!+#REF!</f>
        <v>#REF!</v>
      </c>
      <c r="Z7" s="47">
        <f t="shared" ref="Z7:Z16" si="5">W7*1400</f>
        <v>9800</v>
      </c>
    </row>
    <row r="8" spans="1:26" s="52" customFormat="1" ht="18">
      <c r="A8" s="50" t="s">
        <v>60</v>
      </c>
      <c r="B8" s="66" t="s">
        <v>61</v>
      </c>
      <c r="C8" s="51">
        <f>TIME(1,2,0)</f>
        <v>4.3055555555555562E-2</v>
      </c>
      <c r="D8" s="51">
        <f t="shared" ref="D8:D16" si="6">C8</f>
        <v>4.3055555555555562E-2</v>
      </c>
      <c r="E8" s="51">
        <f>TIME(2,18,0)</f>
        <v>9.5833333333333326E-2</v>
      </c>
      <c r="F8" s="51">
        <f t="shared" si="0"/>
        <v>5.2777777777777764E-2</v>
      </c>
      <c r="G8" s="51">
        <f>TIME(3,46,0)</f>
        <v>0.15694444444444444</v>
      </c>
      <c r="H8" s="59">
        <f t="shared" si="1"/>
        <v>6.1111111111111116E-2</v>
      </c>
      <c r="I8" s="51">
        <f>TIME(5,24,0)</f>
        <v>0.22500000000000001</v>
      </c>
      <c r="J8" s="59">
        <f t="shared" si="2"/>
        <v>6.8055555555555564E-2</v>
      </c>
      <c r="K8" s="51">
        <f>TIME(7,37,0)</f>
        <v>0.31736111111111115</v>
      </c>
      <c r="L8" s="51">
        <f t="shared" si="3"/>
        <v>9.2361111111111144E-2</v>
      </c>
      <c r="M8" s="59">
        <f>TIME(9,31,0)</f>
        <v>0.39652777777777781</v>
      </c>
      <c r="N8" s="51">
        <f t="shared" si="4"/>
        <v>7.9166666666666663E-2</v>
      </c>
      <c r="O8" s="51"/>
      <c r="P8" s="50"/>
      <c r="Q8" s="50"/>
      <c r="R8" s="50"/>
      <c r="S8" s="50"/>
      <c r="T8" s="50"/>
      <c r="U8" s="60"/>
      <c r="V8" s="61"/>
      <c r="W8" s="5">
        <v>6</v>
      </c>
      <c r="X8" s="5">
        <v>30</v>
      </c>
      <c r="Y8" s="6" t="e">
        <f>SUM(D8+F8+H8)+J8+L8+N8+P8+R8+T8+V8+#REF!+#REF!+#REF!</f>
        <v>#REF!</v>
      </c>
      <c r="Z8" s="7">
        <f t="shared" si="5"/>
        <v>8400</v>
      </c>
    </row>
    <row r="9" spans="1:26" s="56" customFormat="1" ht="18">
      <c r="A9" s="62" t="s">
        <v>62</v>
      </c>
      <c r="B9" s="46" t="s">
        <v>63</v>
      </c>
      <c r="C9" s="45">
        <f>TIME(0,56,24)</f>
        <v>3.9166666666666662E-2</v>
      </c>
      <c r="D9" s="45">
        <f t="shared" si="6"/>
        <v>3.9166666666666662E-2</v>
      </c>
      <c r="E9" s="45">
        <f>TIME(2,0,0)</f>
        <v>8.3333333333333329E-2</v>
      </c>
      <c r="F9" s="45">
        <f t="shared" si="0"/>
        <v>4.4166666666666667E-2</v>
      </c>
      <c r="G9" s="45">
        <f>TIME(3,10,0)</f>
        <v>0.13194444444444445</v>
      </c>
      <c r="H9" s="62">
        <f t="shared" si="1"/>
        <v>4.8611111111111119E-2</v>
      </c>
      <c r="I9" s="45">
        <f>TIME(4,26,0)</f>
        <v>0.18472222222222223</v>
      </c>
      <c r="J9" s="62">
        <f t="shared" si="2"/>
        <v>5.2777777777777785E-2</v>
      </c>
      <c r="K9" s="45">
        <f>TIME(6,7,0)</f>
        <v>0.25486111111111109</v>
      </c>
      <c r="L9" s="45">
        <f t="shared" si="3"/>
        <v>7.0138888888888862E-2</v>
      </c>
      <c r="M9" s="62"/>
      <c r="N9" s="45"/>
      <c r="O9" s="45"/>
      <c r="P9" s="62"/>
      <c r="Q9" s="45"/>
      <c r="R9" s="62"/>
      <c r="S9" s="63"/>
      <c r="T9" s="62"/>
      <c r="U9" s="45"/>
      <c r="V9" s="53"/>
      <c r="W9" s="65">
        <v>5</v>
      </c>
      <c r="X9" s="65">
        <v>25</v>
      </c>
      <c r="Y9" s="48" t="e">
        <f>SUM(D9+F9+H9)+J9+L9+N9+P9+R9+T9+V9+#REF!+#REF!+#REF!</f>
        <v>#REF!</v>
      </c>
      <c r="Z9" s="47">
        <f t="shared" si="5"/>
        <v>7000</v>
      </c>
    </row>
    <row r="10" spans="1:26" s="52" customFormat="1" ht="18">
      <c r="A10" s="50" t="s">
        <v>64</v>
      </c>
      <c r="B10" s="4" t="s">
        <v>65</v>
      </c>
      <c r="C10" s="51">
        <f>TIME(0,49,41)</f>
        <v>3.4502314814814812E-2</v>
      </c>
      <c r="D10" s="51">
        <f t="shared" si="6"/>
        <v>3.4502314814814812E-2</v>
      </c>
      <c r="E10" s="51">
        <f>TIME(1,51,0)</f>
        <v>7.7083333333333337E-2</v>
      </c>
      <c r="F10" s="51">
        <f t="shared" si="0"/>
        <v>4.2581018518518525E-2</v>
      </c>
      <c r="G10" s="51">
        <f>TIME(2,53,0)</f>
        <v>0.12013888888888889</v>
      </c>
      <c r="H10" s="50">
        <f t="shared" si="1"/>
        <v>4.3055555555555555E-2</v>
      </c>
      <c r="I10" s="51">
        <f>TIME(4,40,0)</f>
        <v>0.19444444444444445</v>
      </c>
      <c r="J10" s="59">
        <f t="shared" si="2"/>
        <v>7.4305555555555555E-2</v>
      </c>
      <c r="K10" s="51">
        <f>TIME(7,2,0)</f>
        <v>0.29305555555555557</v>
      </c>
      <c r="L10" s="51">
        <f t="shared" si="3"/>
        <v>9.8611111111111122E-2</v>
      </c>
      <c r="M10" s="50"/>
      <c r="N10" s="51"/>
      <c r="O10" s="51"/>
      <c r="P10" s="50"/>
      <c r="Q10" s="60"/>
      <c r="R10" s="50"/>
      <c r="S10" s="60"/>
      <c r="T10" s="50"/>
      <c r="U10" s="60"/>
      <c r="V10" s="61"/>
      <c r="W10" s="5">
        <v>5</v>
      </c>
      <c r="X10" s="5">
        <v>25</v>
      </c>
      <c r="Y10" s="6" t="e">
        <f>SUM(D10+F10+H10)+J10+L10+N10+P10+R10+T10+V10+#REF!+#REF!+#REF!</f>
        <v>#REF!</v>
      </c>
      <c r="Z10" s="7">
        <f t="shared" si="5"/>
        <v>7000</v>
      </c>
    </row>
    <row r="11" spans="1:26" s="56" customFormat="1" ht="18">
      <c r="A11" s="62" t="s">
        <v>66</v>
      </c>
      <c r="B11" s="54" t="s">
        <v>67</v>
      </c>
      <c r="C11" s="45">
        <f>TIME(1,4,30)</f>
        <v>4.4791666666666667E-2</v>
      </c>
      <c r="D11" s="45">
        <f t="shared" si="6"/>
        <v>4.4791666666666667E-2</v>
      </c>
      <c r="E11" s="45">
        <f>TIME(2,22,0)</f>
        <v>9.8611111111111108E-2</v>
      </c>
      <c r="F11" s="45">
        <f t="shared" si="0"/>
        <v>5.3819444444444441E-2</v>
      </c>
      <c r="G11" s="45">
        <f>TIME(3,46,0)</f>
        <v>0.15694444444444444</v>
      </c>
      <c r="H11" s="62">
        <f t="shared" si="1"/>
        <v>5.8333333333333334E-2</v>
      </c>
      <c r="I11" s="45">
        <f>TIME(5,30,0)</f>
        <v>0.22916666666666666</v>
      </c>
      <c r="J11" s="63">
        <f t="shared" si="2"/>
        <v>7.2222222222222215E-2</v>
      </c>
      <c r="K11" s="45">
        <f>TIME(8,34,0)</f>
        <v>0.35694444444444445</v>
      </c>
      <c r="L11" s="45">
        <f t="shared" si="3"/>
        <v>0.1277777777777778</v>
      </c>
      <c r="M11" s="62"/>
      <c r="N11" s="45"/>
      <c r="O11" s="45"/>
      <c r="P11" s="62"/>
      <c r="Q11" s="64"/>
      <c r="R11" s="62"/>
      <c r="S11" s="64"/>
      <c r="T11" s="62"/>
      <c r="U11" s="64"/>
      <c r="V11" s="53"/>
      <c r="W11" s="65">
        <v>5</v>
      </c>
      <c r="X11" s="65">
        <v>25</v>
      </c>
      <c r="Y11" s="48" t="e">
        <f>SUM(D11+F11+H11)+J11+L11+N11+P11+R11+T11+V11+#REF!+#REF!+#REF!</f>
        <v>#REF!</v>
      </c>
      <c r="Z11" s="57">
        <f t="shared" si="5"/>
        <v>7000</v>
      </c>
    </row>
    <row r="12" spans="1:26" s="52" customFormat="1" ht="23" customHeight="1">
      <c r="A12" s="50" t="s">
        <v>68</v>
      </c>
      <c r="B12" s="4" t="s">
        <v>69</v>
      </c>
      <c r="C12" s="51">
        <f>TIME(1,25,13)</f>
        <v>5.917824074074074E-2</v>
      </c>
      <c r="D12" s="51">
        <f t="shared" si="6"/>
        <v>5.917824074074074E-2</v>
      </c>
      <c r="E12" s="51">
        <f>TIME(2,55,26)</f>
        <v>0.1218287037037037</v>
      </c>
      <c r="F12" s="51">
        <f t="shared" si="0"/>
        <v>6.2650462962962963E-2</v>
      </c>
      <c r="G12" s="51">
        <f>TIME(4,37,56)</f>
        <v>0.19300925925925927</v>
      </c>
      <c r="H12" s="50">
        <f>G12-E12</f>
        <v>7.1180555555555566E-2</v>
      </c>
      <c r="I12" s="51">
        <f>TIME(6,23,40)</f>
        <v>0.26643518518518522</v>
      </c>
      <c r="J12" s="59">
        <f t="shared" si="2"/>
        <v>7.342592592592595E-2</v>
      </c>
      <c r="K12" s="51"/>
      <c r="L12" s="51"/>
      <c r="M12" s="50"/>
      <c r="N12" s="51"/>
      <c r="O12" s="51"/>
      <c r="P12" s="50"/>
      <c r="Q12" s="50"/>
      <c r="R12" s="50"/>
      <c r="S12" s="50"/>
      <c r="T12" s="50"/>
      <c r="U12" s="50"/>
      <c r="V12" s="61"/>
      <c r="W12" s="5">
        <v>4</v>
      </c>
      <c r="X12" s="5">
        <v>20</v>
      </c>
      <c r="Y12" s="6" t="e">
        <f>SUM(D12+F12+H12)+J12+L12+N12+P12+R12+T12+V12+#REF!+#REF!+#REF!</f>
        <v>#REF!</v>
      </c>
      <c r="Z12" s="7">
        <f t="shared" si="5"/>
        <v>5600</v>
      </c>
    </row>
    <row r="13" spans="1:26" s="56" customFormat="1" ht="18">
      <c r="A13" s="62" t="s">
        <v>70</v>
      </c>
      <c r="B13" s="46" t="s">
        <v>71</v>
      </c>
      <c r="C13" s="45">
        <f>TIME(1,20,0)</f>
        <v>5.5555555555555552E-2</v>
      </c>
      <c r="D13" s="45">
        <f t="shared" si="6"/>
        <v>5.5555555555555552E-2</v>
      </c>
      <c r="E13" s="45">
        <f>TIME(2,49,0)</f>
        <v>0.1173611111111111</v>
      </c>
      <c r="F13" s="45">
        <f t="shared" si="0"/>
        <v>6.1805555555555544E-2</v>
      </c>
      <c r="G13" s="45">
        <f>TIME(4,31,0)</f>
        <v>0.18819444444444444</v>
      </c>
      <c r="H13" s="62">
        <f t="shared" si="1"/>
        <v>7.0833333333333345E-2</v>
      </c>
      <c r="I13" s="45"/>
      <c r="J13" s="63"/>
      <c r="K13" s="45"/>
      <c r="L13" s="45"/>
      <c r="M13" s="62"/>
      <c r="N13" s="45"/>
      <c r="O13" s="45"/>
      <c r="P13" s="62"/>
      <c r="Q13" s="64"/>
      <c r="R13" s="62"/>
      <c r="S13" s="64"/>
      <c r="T13" s="62"/>
      <c r="U13" s="64"/>
      <c r="V13" s="53"/>
      <c r="W13" s="65">
        <v>3</v>
      </c>
      <c r="X13" s="65">
        <v>15</v>
      </c>
      <c r="Y13" s="48" t="e">
        <f>SUM(D13+F13+H13)+J13+L13+N13+P13+R13+T13+V13+#REF!+#REF!+#REF!</f>
        <v>#REF!</v>
      </c>
      <c r="Z13" s="57">
        <f t="shared" si="5"/>
        <v>4200</v>
      </c>
    </row>
    <row r="14" spans="1:26" s="52" customFormat="1" ht="18">
      <c r="A14" s="50" t="s">
        <v>72</v>
      </c>
      <c r="B14" s="66" t="s">
        <v>73</v>
      </c>
      <c r="C14" s="51">
        <f>TIME(1,20,0)</f>
        <v>5.5555555555555552E-2</v>
      </c>
      <c r="D14" s="51">
        <f t="shared" si="6"/>
        <v>5.5555555555555552E-2</v>
      </c>
      <c r="E14" s="51">
        <f>TIME(2,35,0)</f>
        <v>0.1076388888888889</v>
      </c>
      <c r="F14" s="51">
        <f t="shared" si="0"/>
        <v>5.2083333333333343E-2</v>
      </c>
      <c r="G14" s="51">
        <f>TIME(4,42,0)</f>
        <v>0.19583333333333333</v>
      </c>
      <c r="H14" s="50">
        <f t="shared" si="1"/>
        <v>8.8194444444444436E-2</v>
      </c>
      <c r="I14" s="51"/>
      <c r="J14" s="50"/>
      <c r="K14" s="51"/>
      <c r="L14" s="51"/>
      <c r="M14" s="50"/>
      <c r="N14" s="51"/>
      <c r="O14" s="51"/>
      <c r="P14" s="50"/>
      <c r="Q14" s="60"/>
      <c r="R14" s="50"/>
      <c r="S14" s="60"/>
      <c r="T14" s="50"/>
      <c r="U14" s="60"/>
      <c r="V14" s="61"/>
      <c r="W14" s="5">
        <v>3</v>
      </c>
      <c r="X14" s="5">
        <v>15</v>
      </c>
      <c r="Y14" s="6" t="e">
        <f>SUM(D14+F14+H14)+J14+L14+N14+P14+R14+T14+V14+#REF!+#REF!+#REF!</f>
        <v>#REF!</v>
      </c>
      <c r="Z14" s="7">
        <f t="shared" si="5"/>
        <v>4200</v>
      </c>
    </row>
    <row r="15" spans="1:26" s="56" customFormat="1" ht="18">
      <c r="A15" s="62" t="s">
        <v>74</v>
      </c>
      <c r="B15" s="46" t="s">
        <v>75</v>
      </c>
      <c r="C15" s="45">
        <f>TIME(1,8,0)</f>
        <v>4.7222222222222221E-2</v>
      </c>
      <c r="D15" s="45">
        <f t="shared" si="6"/>
        <v>4.7222222222222221E-2</v>
      </c>
      <c r="E15" s="45">
        <f>TIME(2,35,0)</f>
        <v>0.1076388888888889</v>
      </c>
      <c r="F15" s="45">
        <f t="shared" si="0"/>
        <v>6.0416666666666674E-2</v>
      </c>
      <c r="G15" s="45"/>
      <c r="H15" s="62"/>
      <c r="I15" s="45"/>
      <c r="J15" s="62"/>
      <c r="K15" s="45"/>
      <c r="L15" s="62"/>
      <c r="M15" s="62"/>
      <c r="N15" s="45"/>
      <c r="O15" s="45"/>
      <c r="P15" s="62"/>
      <c r="Q15" s="62"/>
      <c r="R15" s="62"/>
      <c r="S15" s="62"/>
      <c r="T15" s="62"/>
      <c r="U15" s="62"/>
      <c r="V15" s="53"/>
      <c r="W15" s="65">
        <v>2</v>
      </c>
      <c r="X15" s="65">
        <v>10</v>
      </c>
      <c r="Y15" s="48" t="e">
        <f>SUM(D15+F15+H15)+J15+L15+N15+P15+R15+T15+V15+#REF!+#REF!+#REF!</f>
        <v>#REF!</v>
      </c>
      <c r="Z15" s="47">
        <f t="shared" si="5"/>
        <v>2800</v>
      </c>
    </row>
    <row r="16" spans="1:26" s="52" customFormat="1" ht="18">
      <c r="A16" s="50" t="s">
        <v>76</v>
      </c>
      <c r="B16" s="4" t="s">
        <v>77</v>
      </c>
      <c r="C16" s="51">
        <f>TIME(1,30,0)</f>
        <v>6.25E-2</v>
      </c>
      <c r="D16" s="51">
        <f t="shared" si="6"/>
        <v>6.25E-2</v>
      </c>
      <c r="E16" s="51"/>
      <c r="F16" s="51"/>
      <c r="G16" s="51"/>
      <c r="H16" s="50"/>
      <c r="I16" s="51"/>
      <c r="J16" s="50"/>
      <c r="K16" s="51"/>
      <c r="L16" s="50"/>
      <c r="M16" s="50"/>
      <c r="N16" s="50"/>
      <c r="O16" s="50"/>
      <c r="P16" s="50"/>
      <c r="Q16" s="51"/>
      <c r="R16" s="50"/>
      <c r="S16" s="59"/>
      <c r="T16" s="50"/>
      <c r="U16" s="51"/>
      <c r="V16" s="61"/>
      <c r="W16" s="5">
        <v>1</v>
      </c>
      <c r="X16" s="5">
        <v>5</v>
      </c>
      <c r="Y16" s="6" t="e">
        <f>SUM(D16+F16+H16)+J16+L16+N16+P16+R16+T16+V16+#REF!+#REF!+#REF!</f>
        <v>#REF!</v>
      </c>
      <c r="Z16" s="7">
        <f t="shared" si="5"/>
        <v>1400</v>
      </c>
    </row>
  </sheetData>
  <phoneticPr fontId="2" type="noConversion"/>
  <pageMargins left="0.75" right="0.75" top="1" bottom="1" header="0.5" footer="0.5"/>
  <colBreaks count="1" manualBreakCount="1">
    <brk id="2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6"/>
  <sheetViews>
    <sheetView workbookViewId="0">
      <selection activeCell="AA13" sqref="AA13"/>
    </sheetView>
  </sheetViews>
  <sheetFormatPr baseColWidth="10" defaultRowHeight="13"/>
  <sheetData>
    <row r="1" spans="1:27" s="25" customFormat="1" ht="15" customHeight="1">
      <c r="B1" s="24" t="s">
        <v>82</v>
      </c>
      <c r="C1" s="21" t="s">
        <v>11</v>
      </c>
      <c r="D1" s="24" t="s">
        <v>83</v>
      </c>
      <c r="E1" s="24" t="s">
        <v>84</v>
      </c>
      <c r="F1" s="24" t="s">
        <v>85</v>
      </c>
      <c r="G1" s="24" t="s">
        <v>86</v>
      </c>
      <c r="H1" s="24" t="s">
        <v>87</v>
      </c>
      <c r="I1" s="24" t="s">
        <v>88</v>
      </c>
      <c r="J1" s="24" t="s">
        <v>89</v>
      </c>
      <c r="K1" s="24" t="s">
        <v>90</v>
      </c>
      <c r="L1" s="24" t="s">
        <v>91</v>
      </c>
      <c r="M1" s="24" t="s">
        <v>92</v>
      </c>
      <c r="N1" s="24" t="s">
        <v>93</v>
      </c>
      <c r="O1" s="24" t="s">
        <v>94</v>
      </c>
      <c r="P1" s="24" t="s">
        <v>95</v>
      </c>
      <c r="Q1" s="24" t="s">
        <v>0</v>
      </c>
      <c r="R1" s="24" t="s">
        <v>1</v>
      </c>
      <c r="S1" s="24" t="s">
        <v>2</v>
      </c>
      <c r="T1" s="24" t="s">
        <v>3</v>
      </c>
      <c r="U1" s="24" t="s">
        <v>4</v>
      </c>
      <c r="V1" s="24" t="s">
        <v>5</v>
      </c>
      <c r="W1" s="24" t="s">
        <v>6</v>
      </c>
      <c r="X1" s="22" t="s">
        <v>12</v>
      </c>
      <c r="Y1" s="22" t="s">
        <v>13</v>
      </c>
      <c r="Z1" s="22" t="s">
        <v>14</v>
      </c>
      <c r="AA1" s="22" t="s">
        <v>15</v>
      </c>
    </row>
    <row r="2" spans="1:27" s="20" customFormat="1" ht="18">
      <c r="A2" s="20">
        <v>2014</v>
      </c>
      <c r="B2" s="50" t="s">
        <v>51</v>
      </c>
      <c r="C2" s="4" t="s">
        <v>52</v>
      </c>
      <c r="D2" s="51">
        <v>4.0462962962962964E-2</v>
      </c>
      <c r="E2" s="51">
        <v>4.0462962962962964E-2</v>
      </c>
      <c r="F2" s="51">
        <v>9.0972222222222218E-2</v>
      </c>
      <c r="G2" s="51">
        <v>5.0509259259259254E-2</v>
      </c>
      <c r="H2" s="51">
        <v>0.12916666666666668</v>
      </c>
      <c r="I2" s="51">
        <v>3.8194444444444461E-2</v>
      </c>
      <c r="J2" s="51">
        <v>0.1763888888888889</v>
      </c>
      <c r="K2" s="51">
        <v>4.7222222222222221E-2</v>
      </c>
      <c r="L2" s="51">
        <v>0.22638888888888889</v>
      </c>
      <c r="M2" s="51">
        <v>4.9999999999999989E-2</v>
      </c>
      <c r="N2" s="51">
        <v>0.26874999999999999</v>
      </c>
      <c r="O2" s="51">
        <v>4.2361111111111099E-2</v>
      </c>
      <c r="P2" s="51">
        <v>0.31597222222222221</v>
      </c>
      <c r="Q2" s="51">
        <v>4.7222222222222221E-2</v>
      </c>
      <c r="R2" s="51">
        <v>0.36319444444444443</v>
      </c>
      <c r="S2" s="51">
        <v>4.7222222222222221E-2</v>
      </c>
      <c r="T2" s="51">
        <v>0.41180555555555554</v>
      </c>
      <c r="U2" s="51">
        <v>4.8611111111111105E-2</v>
      </c>
      <c r="V2" s="51">
        <v>0.46388888888888885</v>
      </c>
      <c r="W2" s="51">
        <v>5.2083333333333315E-2</v>
      </c>
      <c r="X2" s="5">
        <v>10</v>
      </c>
      <c r="Y2" s="5">
        <v>50</v>
      </c>
      <c r="Z2" s="6" t="e">
        <v>#REF!</v>
      </c>
      <c r="AA2" s="7">
        <v>14000</v>
      </c>
    </row>
    <row r="3" spans="1:27">
      <c r="A3">
        <v>2015</v>
      </c>
      <c r="B3" s="18" t="s">
        <v>8</v>
      </c>
      <c r="C3" s="8" t="s">
        <v>7</v>
      </c>
      <c r="D3" s="26">
        <v>0.45416666666666666</v>
      </c>
      <c r="E3" s="39">
        <v>3.7499999999999999E-2</v>
      </c>
      <c r="F3" s="26">
        <v>0.48333333333333334</v>
      </c>
      <c r="G3" s="39">
        <v>2.9166666666666674E-2</v>
      </c>
      <c r="H3" s="19">
        <v>0.53194444444444444</v>
      </c>
      <c r="I3" s="39">
        <v>4.8611111111111105E-2</v>
      </c>
      <c r="J3" s="10">
        <v>0.5708333333333333</v>
      </c>
      <c r="K3" s="39">
        <v>3.8888888888888862E-2</v>
      </c>
      <c r="L3" s="11">
        <v>0.61249999999999993</v>
      </c>
      <c r="M3" s="39">
        <v>4.166666666666663E-2</v>
      </c>
      <c r="N3" s="11">
        <v>0.65416666666666667</v>
      </c>
      <c r="O3" s="39">
        <v>4.1666666666666741E-2</v>
      </c>
      <c r="P3" s="12">
        <v>0.69791666666666663</v>
      </c>
      <c r="Q3" s="39">
        <v>4.3749999999999956E-2</v>
      </c>
      <c r="R3" s="13">
        <v>0.74236111111111114</v>
      </c>
      <c r="S3" s="39">
        <v>4.4444444444444509E-2</v>
      </c>
      <c r="T3" s="13">
        <v>0.78680555555555554</v>
      </c>
      <c r="U3" s="39">
        <v>4.4444444444444398E-2</v>
      </c>
      <c r="V3" s="14">
        <v>0.82916666666666661</v>
      </c>
      <c r="W3" s="39">
        <v>2.8472222222222232E-2</v>
      </c>
      <c r="X3" s="15">
        <v>10</v>
      </c>
      <c r="Y3" s="15">
        <v>50</v>
      </c>
      <c r="Z3" s="16">
        <v>0.41250000000000003</v>
      </c>
      <c r="AA3" s="17">
        <v>14000</v>
      </c>
    </row>
    <row r="6" spans="1:27" s="25" customFormat="1" ht="15" customHeight="1">
      <c r="B6" s="24" t="s">
        <v>82</v>
      </c>
      <c r="C6" s="21" t="s">
        <v>11</v>
      </c>
      <c r="D6" s="24" t="s">
        <v>83</v>
      </c>
      <c r="E6" s="24" t="s">
        <v>84</v>
      </c>
      <c r="F6" s="24" t="s">
        <v>85</v>
      </c>
      <c r="G6" s="24" t="s">
        <v>86</v>
      </c>
      <c r="H6" s="24" t="s">
        <v>87</v>
      </c>
      <c r="I6" s="24" t="s">
        <v>88</v>
      </c>
      <c r="J6" s="24" t="s">
        <v>89</v>
      </c>
      <c r="K6" s="24" t="s">
        <v>90</v>
      </c>
      <c r="L6" s="24" t="s">
        <v>91</v>
      </c>
      <c r="M6" s="24" t="s">
        <v>92</v>
      </c>
      <c r="N6" s="24" t="s">
        <v>93</v>
      </c>
      <c r="O6" s="24" t="s">
        <v>94</v>
      </c>
      <c r="P6" s="24" t="s">
        <v>95</v>
      </c>
      <c r="Q6" s="24" t="s">
        <v>0</v>
      </c>
      <c r="R6" s="24" t="s">
        <v>1</v>
      </c>
      <c r="S6" s="24" t="s">
        <v>2</v>
      </c>
      <c r="T6" s="24" t="s">
        <v>3</v>
      </c>
      <c r="U6" s="24" t="s">
        <v>4</v>
      </c>
      <c r="V6" s="24" t="s">
        <v>5</v>
      </c>
      <c r="W6" s="24" t="s">
        <v>6</v>
      </c>
      <c r="X6" s="22" t="s">
        <v>12</v>
      </c>
      <c r="Y6" s="22" t="s">
        <v>13</v>
      </c>
      <c r="Z6" s="22" t="s">
        <v>14</v>
      </c>
      <c r="AA6" s="22" t="s">
        <v>15</v>
      </c>
    </row>
    <row r="7" spans="1:27" s="56" customFormat="1" ht="18">
      <c r="A7" s="56">
        <v>2014</v>
      </c>
      <c r="B7" s="62" t="s">
        <v>58</v>
      </c>
      <c r="C7" s="46" t="s">
        <v>59</v>
      </c>
      <c r="D7" s="45">
        <v>4.9999999999999996E-2</v>
      </c>
      <c r="E7" s="45">
        <v>5.0150462962962966E-2</v>
      </c>
      <c r="F7" s="45">
        <v>0.10694444444444444</v>
      </c>
      <c r="G7" s="45">
        <v>5.6944444444444443E-2</v>
      </c>
      <c r="H7" s="45">
        <v>0.16694444444444445</v>
      </c>
      <c r="I7" s="62">
        <v>6.0000000000000012E-2</v>
      </c>
      <c r="J7" s="45">
        <v>0.22690972222222225</v>
      </c>
      <c r="K7" s="63">
        <v>5.9965277777777798E-2</v>
      </c>
      <c r="L7" s="45">
        <v>0.28743055555555558</v>
      </c>
      <c r="M7" s="45">
        <v>6.0520833333333329E-2</v>
      </c>
      <c r="N7" s="63">
        <v>0.3611111111111111</v>
      </c>
      <c r="O7" s="45">
        <v>7.3680555555555527E-2</v>
      </c>
      <c r="P7" s="45">
        <v>0.46249999999999997</v>
      </c>
      <c r="Q7" s="63">
        <v>0.10138888888888886</v>
      </c>
      <c r="R7" s="64"/>
      <c r="S7" s="62"/>
      <c r="T7" s="64"/>
      <c r="U7" s="62"/>
      <c r="V7" s="64"/>
      <c r="W7" s="53"/>
      <c r="X7" s="65">
        <v>7</v>
      </c>
      <c r="Y7" s="65">
        <v>35</v>
      </c>
      <c r="Z7" s="48" t="e">
        <v>#REF!</v>
      </c>
      <c r="AA7" s="47">
        <v>9800</v>
      </c>
    </row>
    <row r="8" spans="1:27" s="72" customFormat="1">
      <c r="A8" s="72">
        <v>2015</v>
      </c>
      <c r="B8" s="73" t="s">
        <v>41</v>
      </c>
      <c r="C8" s="73">
        <v>31</v>
      </c>
      <c r="D8" s="26">
        <v>0.46666666666666662</v>
      </c>
      <c r="E8" s="39">
        <v>4.9999999999999996E-2</v>
      </c>
      <c r="F8" s="26">
        <v>0.52777777777777779</v>
      </c>
      <c r="G8" s="39">
        <v>6.1111111111111172E-2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>
        <v>3</v>
      </c>
      <c r="Y8" s="73">
        <v>20</v>
      </c>
      <c r="Z8" s="16">
        <v>0.11111111111111116</v>
      </c>
      <c r="AA8" s="17">
        <v>4200</v>
      </c>
    </row>
    <row r="10" spans="1:27" ht="24">
      <c r="B10" s="24" t="s">
        <v>82</v>
      </c>
      <c r="C10" s="21" t="s">
        <v>11</v>
      </c>
      <c r="D10" s="24" t="s">
        <v>83</v>
      </c>
      <c r="E10" s="24" t="s">
        <v>84</v>
      </c>
      <c r="F10" s="24" t="s">
        <v>85</v>
      </c>
      <c r="G10" s="24" t="s">
        <v>86</v>
      </c>
      <c r="H10" s="24" t="s">
        <v>87</v>
      </c>
      <c r="I10" s="24" t="s">
        <v>88</v>
      </c>
      <c r="J10" s="24" t="s">
        <v>89</v>
      </c>
      <c r="K10" s="24" t="s">
        <v>90</v>
      </c>
      <c r="L10" s="24" t="s">
        <v>91</v>
      </c>
      <c r="M10" s="24" t="s">
        <v>92</v>
      </c>
      <c r="N10" s="24" t="s">
        <v>93</v>
      </c>
      <c r="O10" s="24" t="s">
        <v>94</v>
      </c>
      <c r="P10" s="24" t="s">
        <v>95</v>
      </c>
      <c r="Q10" s="24" t="s">
        <v>0</v>
      </c>
      <c r="R10" s="24" t="s">
        <v>1</v>
      </c>
      <c r="S10" s="24" t="s">
        <v>2</v>
      </c>
      <c r="T10" s="24" t="s">
        <v>3</v>
      </c>
      <c r="U10" s="24" t="s">
        <v>4</v>
      </c>
      <c r="V10" s="24" t="s">
        <v>5</v>
      </c>
      <c r="W10" s="24" t="s">
        <v>6</v>
      </c>
      <c r="X10" s="22" t="s">
        <v>12</v>
      </c>
      <c r="Y10" s="22" t="s">
        <v>13</v>
      </c>
      <c r="Z10" s="22" t="s">
        <v>14</v>
      </c>
      <c r="AA10" s="22" t="s">
        <v>15</v>
      </c>
    </row>
    <row r="11" spans="1:27" s="56" customFormat="1" ht="18">
      <c r="A11" s="56">
        <v>2014</v>
      </c>
      <c r="B11" s="62" t="s">
        <v>62</v>
      </c>
      <c r="C11" s="46" t="s">
        <v>63</v>
      </c>
      <c r="D11" s="45">
        <v>3.9166666666666662E-2</v>
      </c>
      <c r="E11" s="45">
        <v>3.9166666666666662E-2</v>
      </c>
      <c r="F11" s="45">
        <v>8.3333333333333329E-2</v>
      </c>
      <c r="G11" s="45">
        <v>4.4166666666666667E-2</v>
      </c>
      <c r="H11" s="45">
        <v>0.13194444444444445</v>
      </c>
      <c r="I11" s="62">
        <v>4.8611111111111119E-2</v>
      </c>
      <c r="J11" s="45">
        <v>0.18472222222222223</v>
      </c>
      <c r="K11" s="62">
        <v>5.2777777777777785E-2</v>
      </c>
      <c r="L11" s="45">
        <v>0.25486111111111109</v>
      </c>
      <c r="M11" s="45">
        <v>7.0138888888888862E-2</v>
      </c>
      <c r="N11" s="62"/>
      <c r="O11" s="45"/>
      <c r="P11" s="45"/>
      <c r="Q11" s="62"/>
      <c r="R11" s="45"/>
      <c r="S11" s="62"/>
      <c r="T11" s="63"/>
      <c r="U11" s="62"/>
      <c r="V11" s="45"/>
      <c r="W11" s="53"/>
      <c r="X11" s="65">
        <v>5</v>
      </c>
      <c r="Y11" s="65">
        <v>25</v>
      </c>
      <c r="Z11" s="48" t="e">
        <v>#REF!</v>
      </c>
      <c r="AA11" s="47">
        <v>7000</v>
      </c>
    </row>
    <row r="12" spans="1:27" s="70" customFormat="1">
      <c r="A12" s="70">
        <v>2015</v>
      </c>
      <c r="B12" s="69" t="s">
        <v>30</v>
      </c>
      <c r="C12" s="69">
        <v>4</v>
      </c>
      <c r="D12" s="28">
        <v>0.46249999999999997</v>
      </c>
      <c r="E12" s="38">
        <v>4.5833333333333337E-2</v>
      </c>
      <c r="F12" s="28">
        <v>0.50902777777777775</v>
      </c>
      <c r="G12" s="38">
        <v>4.6527777777777779E-2</v>
      </c>
      <c r="H12" s="29">
        <v>0.55555555555555558</v>
      </c>
      <c r="I12" s="38">
        <v>4.6527777777777835E-2</v>
      </c>
      <c r="J12" s="30">
        <v>0.6020833333333333</v>
      </c>
      <c r="K12" s="38">
        <v>4.6527777777777724E-2</v>
      </c>
      <c r="L12" s="31">
        <v>0.65138888888888891</v>
      </c>
      <c r="M12" s="38">
        <v>4.9305555555555602E-2</v>
      </c>
      <c r="N12" s="31">
        <v>0.70277777777777783</v>
      </c>
      <c r="O12" s="38">
        <v>5.1388888888888928E-2</v>
      </c>
      <c r="P12" s="32">
        <v>0.75902777777777775</v>
      </c>
      <c r="Q12" s="38">
        <v>5.6249999999999911E-2</v>
      </c>
      <c r="R12" s="33">
        <v>0.81458333333333333</v>
      </c>
      <c r="S12" s="38">
        <v>5.555555555555558E-2</v>
      </c>
      <c r="T12" s="33">
        <v>0.86249999999999993</v>
      </c>
      <c r="U12" s="38">
        <v>4.7916666666666607E-2</v>
      </c>
      <c r="V12" s="34">
        <v>0.91319444444444453</v>
      </c>
      <c r="W12" s="38">
        <v>5.0694444444444597E-2</v>
      </c>
      <c r="X12" s="35">
        <v>10</v>
      </c>
      <c r="Y12" s="35">
        <v>50</v>
      </c>
      <c r="Z12" s="36">
        <v>0.4965277777777779</v>
      </c>
      <c r="AA12" s="37">
        <v>14000</v>
      </c>
    </row>
    <row r="14" spans="1:27" ht="24">
      <c r="B14" s="24" t="s">
        <v>82</v>
      </c>
      <c r="C14" s="21" t="s">
        <v>11</v>
      </c>
      <c r="D14" s="24" t="s">
        <v>83</v>
      </c>
      <c r="E14" s="24" t="s">
        <v>84</v>
      </c>
      <c r="F14" s="24" t="s">
        <v>85</v>
      </c>
      <c r="G14" s="24" t="s">
        <v>86</v>
      </c>
      <c r="H14" s="24" t="s">
        <v>87</v>
      </c>
      <c r="I14" s="24" t="s">
        <v>88</v>
      </c>
      <c r="J14" s="24" t="s">
        <v>89</v>
      </c>
      <c r="K14" s="24" t="s">
        <v>90</v>
      </c>
      <c r="L14" s="24" t="s">
        <v>91</v>
      </c>
      <c r="M14" s="24" t="s">
        <v>92</v>
      </c>
      <c r="N14" s="24" t="s">
        <v>93</v>
      </c>
      <c r="O14" s="24" t="s">
        <v>94</v>
      </c>
      <c r="P14" s="24" t="s">
        <v>95</v>
      </c>
      <c r="Q14" s="24" t="s">
        <v>0</v>
      </c>
      <c r="R14" s="24" t="s">
        <v>1</v>
      </c>
      <c r="S14" s="24" t="s">
        <v>2</v>
      </c>
      <c r="T14" s="24" t="s">
        <v>3</v>
      </c>
      <c r="U14" s="24" t="s">
        <v>4</v>
      </c>
      <c r="V14" s="24" t="s">
        <v>5</v>
      </c>
      <c r="W14" s="24" t="s">
        <v>6</v>
      </c>
      <c r="X14" s="22" t="s">
        <v>12</v>
      </c>
      <c r="Y14" s="22" t="s">
        <v>13</v>
      </c>
      <c r="Z14" s="22" t="s">
        <v>14</v>
      </c>
      <c r="AA14" s="22" t="s">
        <v>15</v>
      </c>
    </row>
    <row r="15" spans="1:27" s="52" customFormat="1" ht="23" customHeight="1">
      <c r="B15" s="50" t="s">
        <v>68</v>
      </c>
      <c r="C15" s="4" t="s">
        <v>69</v>
      </c>
      <c r="D15" s="51">
        <v>5.917824074074074E-2</v>
      </c>
      <c r="E15" s="51">
        <v>5.917824074074074E-2</v>
      </c>
      <c r="F15" s="51">
        <v>0.1218287037037037</v>
      </c>
      <c r="G15" s="51">
        <v>6.2650462962962963E-2</v>
      </c>
      <c r="H15" s="51">
        <v>0.19300925925925927</v>
      </c>
      <c r="I15" s="50">
        <v>7.1180555555555566E-2</v>
      </c>
      <c r="J15" s="51">
        <v>0.26643518518518522</v>
      </c>
      <c r="K15" s="59">
        <v>7.342592592592595E-2</v>
      </c>
      <c r="L15" s="51"/>
      <c r="M15" s="51"/>
      <c r="N15" s="50"/>
      <c r="O15" s="51"/>
      <c r="P15" s="50"/>
      <c r="Q15" s="50"/>
      <c r="R15" s="50"/>
      <c r="S15" s="50"/>
      <c r="T15" s="50"/>
      <c r="U15" s="50"/>
      <c r="V15" s="61"/>
      <c r="W15" s="5">
        <v>4</v>
      </c>
      <c r="X15" s="5">
        <v>20</v>
      </c>
      <c r="Y15" s="6" t="e">
        <v>#REF!</v>
      </c>
      <c r="Z15" s="7">
        <v>5600</v>
      </c>
    </row>
    <row r="16" spans="1:27" s="70" customFormat="1">
      <c r="B16" s="69" t="s">
        <v>34</v>
      </c>
      <c r="C16" s="69">
        <v>18</v>
      </c>
      <c r="D16" s="28">
        <v>0.47083333333333338</v>
      </c>
      <c r="E16" s="38">
        <v>5.4166666666666669E-2</v>
      </c>
      <c r="F16" s="28">
        <v>0.52986111111111112</v>
      </c>
      <c r="G16" s="38">
        <v>5.9027777777777735E-2</v>
      </c>
      <c r="H16" s="29">
        <v>0.59097222222222223</v>
      </c>
      <c r="I16" s="38">
        <v>6.1111111111111116E-2</v>
      </c>
      <c r="J16" s="30">
        <v>0.66527777777777775</v>
      </c>
      <c r="K16" s="38">
        <v>7.4305555555555514E-2</v>
      </c>
      <c r="L16" s="31">
        <v>0.73263888888888884</v>
      </c>
      <c r="M16" s="38">
        <v>6.7361111111111094E-2</v>
      </c>
      <c r="N16" s="31">
        <v>0.81736111111111109</v>
      </c>
      <c r="O16" s="38">
        <v>8.4722222222222254E-2</v>
      </c>
      <c r="P16" s="69"/>
      <c r="Q16" s="69"/>
      <c r="R16" s="69"/>
      <c r="S16" s="69"/>
      <c r="T16" s="69"/>
      <c r="U16" s="69"/>
      <c r="V16" s="69"/>
      <c r="W16" s="69">
        <v>6</v>
      </c>
      <c r="X16" s="35">
        <v>30</v>
      </c>
      <c r="Y16" s="36">
        <v>0.40069444444444435</v>
      </c>
      <c r="Z16" s="37">
        <v>8400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2014</vt:lpstr>
      <vt:lpstr>2015vs2014</vt:lpstr>
    </vt:vector>
  </TitlesOfParts>
  <Company>iLuv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Hardin</dc:creator>
  <cp:lastModifiedBy>John Hardin</cp:lastModifiedBy>
  <dcterms:created xsi:type="dcterms:W3CDTF">2014-01-23T17:28:31Z</dcterms:created>
  <dcterms:modified xsi:type="dcterms:W3CDTF">2015-02-04T18:27:19Z</dcterms:modified>
</cp:coreProperties>
</file>