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680" yWindow="-80" windowWidth="22260" windowHeight="11680" tabRatio="500"/>
  </bookViews>
  <sheets>
    <sheet name="Sheet1" sheetId="1" r:id="rId1"/>
  </sheets>
  <definedNames>
    <definedName name="_xlnm.Print_Area" localSheetId="0">Sheet1!$A$1:$AG$19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16" i="1"/>
  <c r="AG16"/>
  <c r="AF17"/>
  <c r="AG17"/>
  <c r="AF3"/>
  <c r="S17"/>
  <c r="Q17"/>
  <c r="O17"/>
  <c r="S16"/>
  <c r="Q16"/>
  <c r="T16"/>
  <c r="O16"/>
  <c r="R16"/>
  <c r="M16"/>
  <c r="P16"/>
  <c r="K16"/>
  <c r="N16"/>
  <c r="G16"/>
  <c r="E16"/>
  <c r="C16"/>
  <c r="W15"/>
  <c r="U15"/>
  <c r="X15"/>
  <c r="S15"/>
  <c r="V15"/>
  <c r="Q15"/>
  <c r="O15"/>
  <c r="M15"/>
  <c r="K15"/>
  <c r="I15"/>
  <c r="I16"/>
  <c r="G15"/>
  <c r="E15"/>
  <c r="T17"/>
  <c r="R17"/>
  <c r="M17"/>
  <c r="P17"/>
  <c r="K17"/>
  <c r="N17"/>
  <c r="I17"/>
  <c r="L17"/>
  <c r="G17"/>
  <c r="E17"/>
  <c r="C17"/>
  <c r="J17"/>
  <c r="H17"/>
  <c r="F17"/>
  <c r="D17"/>
  <c r="C15"/>
  <c r="L16"/>
  <c r="J16"/>
  <c r="H16"/>
  <c r="F16"/>
  <c r="D16"/>
  <c r="T15"/>
  <c r="R15"/>
  <c r="P15"/>
  <c r="N15"/>
  <c r="L15"/>
  <c r="J15"/>
  <c r="H15"/>
  <c r="F15"/>
  <c r="D15"/>
  <c r="U14"/>
  <c r="S14"/>
  <c r="V14"/>
  <c r="Q14"/>
  <c r="T14"/>
  <c r="O14"/>
  <c r="R14"/>
  <c r="M14"/>
  <c r="P14"/>
  <c r="K14"/>
  <c r="N14"/>
  <c r="I14"/>
  <c r="L14"/>
  <c r="G14"/>
  <c r="E14"/>
  <c r="C14"/>
  <c r="U13"/>
  <c r="S13"/>
  <c r="Q13"/>
  <c r="O13"/>
  <c r="M13"/>
  <c r="K13"/>
  <c r="N13"/>
  <c r="I13"/>
  <c r="G13"/>
  <c r="E13"/>
  <c r="C13"/>
  <c r="U12"/>
  <c r="S12"/>
  <c r="Q12"/>
  <c r="O12"/>
  <c r="M12"/>
  <c r="K12"/>
  <c r="N12"/>
  <c r="I12"/>
  <c r="G12"/>
  <c r="E12"/>
  <c r="C12"/>
  <c r="O11"/>
  <c r="M11"/>
  <c r="K11"/>
  <c r="N11"/>
  <c r="I11"/>
  <c r="G11"/>
  <c r="E11"/>
  <c r="C11"/>
  <c r="Q10"/>
  <c r="O10"/>
  <c r="R10"/>
  <c r="M10"/>
  <c r="P10"/>
  <c r="K10"/>
  <c r="I10"/>
  <c r="G10"/>
  <c r="E10"/>
  <c r="C10"/>
  <c r="Q7"/>
  <c r="O7"/>
  <c r="R7"/>
  <c r="M7"/>
  <c r="K7"/>
  <c r="I7"/>
  <c r="G7"/>
  <c r="C7"/>
  <c r="E7"/>
  <c r="F7"/>
  <c r="M6"/>
  <c r="K6"/>
  <c r="I6"/>
  <c r="G6"/>
  <c r="E6"/>
  <c r="C6"/>
  <c r="U5"/>
  <c r="S5"/>
  <c r="V5"/>
  <c r="Q5"/>
  <c r="O5"/>
  <c r="M5"/>
  <c r="K5"/>
  <c r="I5"/>
  <c r="G5"/>
  <c r="E5"/>
  <c r="C5"/>
  <c r="Q4"/>
  <c r="O4"/>
  <c r="R4"/>
  <c r="M4"/>
  <c r="K4"/>
  <c r="I4"/>
  <c r="G4"/>
  <c r="E4"/>
  <c r="C4"/>
  <c r="Q3"/>
  <c r="O3"/>
  <c r="M3"/>
  <c r="K3"/>
  <c r="I3"/>
  <c r="G3"/>
  <c r="E3"/>
  <c r="C3"/>
  <c r="H14"/>
  <c r="AG15"/>
  <c r="AG13"/>
  <c r="AG14"/>
  <c r="AG12"/>
  <c r="AG10"/>
  <c r="AG5"/>
  <c r="D5"/>
  <c r="F5"/>
  <c r="H5"/>
  <c r="J5"/>
  <c r="L5"/>
  <c r="N5"/>
  <c r="P5"/>
  <c r="R5"/>
  <c r="T5"/>
  <c r="AF5"/>
  <c r="D7"/>
  <c r="N6"/>
  <c r="AG7"/>
  <c r="H6"/>
  <c r="F4"/>
  <c r="F3"/>
  <c r="P3"/>
  <c r="D3"/>
  <c r="H3"/>
  <c r="J3"/>
  <c r="L3"/>
  <c r="N3"/>
  <c r="R3"/>
  <c r="F6"/>
  <c r="F10"/>
  <c r="F11"/>
  <c r="F12"/>
  <c r="F13"/>
  <c r="F14"/>
  <c r="D4"/>
  <c r="D6"/>
  <c r="D10"/>
  <c r="D11"/>
  <c r="D12"/>
  <c r="D13"/>
  <c r="D14"/>
  <c r="J6"/>
  <c r="L6"/>
  <c r="AF6"/>
  <c r="H7"/>
  <c r="J7"/>
  <c r="L7"/>
  <c r="N7"/>
  <c r="P7"/>
  <c r="AF7"/>
  <c r="J14"/>
  <c r="AF14"/>
  <c r="H12"/>
  <c r="J12"/>
  <c r="L12"/>
  <c r="AF12"/>
  <c r="AF15"/>
  <c r="H13"/>
  <c r="J13"/>
  <c r="L13"/>
  <c r="AF13"/>
  <c r="H11"/>
  <c r="H4"/>
  <c r="AG11"/>
  <c r="J11"/>
  <c r="L11"/>
  <c r="AF11"/>
  <c r="J4"/>
  <c r="L4"/>
  <c r="N4"/>
  <c r="P4"/>
  <c r="AF4"/>
  <c r="AG4"/>
  <c r="H10"/>
  <c r="J10"/>
  <c r="L10"/>
  <c r="N10"/>
  <c r="AF10"/>
</calcChain>
</file>

<file path=xl/sharedStrings.xml><?xml version="1.0" encoding="utf-8"?>
<sst xmlns="http://schemas.openxmlformats.org/spreadsheetml/2006/main" count="65" uniqueCount="63">
  <si>
    <t>4</t>
    <phoneticPr fontId="1" type="noConversion"/>
  </si>
  <si>
    <t>5</t>
    <phoneticPr fontId="1" type="noConversion"/>
  </si>
  <si>
    <t>4 Man Teams</t>
    <phoneticPr fontId="1" type="noConversion"/>
  </si>
  <si>
    <t>Krispy Kreme</t>
    <phoneticPr fontId="1" type="noConversion"/>
  </si>
  <si>
    <t>Fully Naked + Afraid</t>
    <phoneticPr fontId="1" type="noConversion"/>
  </si>
  <si>
    <t>RU?</t>
    <phoneticPr fontId="1" type="noConversion"/>
  </si>
  <si>
    <t>Ultra Dirtbags</t>
    <phoneticPr fontId="1" type="noConversion"/>
  </si>
  <si>
    <t>One Nut Cupcake</t>
    <phoneticPr fontId="1" type="noConversion"/>
  </si>
  <si>
    <t>Ice Cream Truck Chasers</t>
    <phoneticPr fontId="1" type="noConversion"/>
  </si>
  <si>
    <t>3</t>
    <phoneticPr fontId="1" type="noConversion"/>
  </si>
  <si>
    <t>Menzie</t>
    <phoneticPr fontId="1" type="noConversion"/>
  </si>
  <si>
    <t>Nail</t>
    <phoneticPr fontId="1" type="noConversion"/>
  </si>
  <si>
    <t>8</t>
    <phoneticPr fontId="1" type="noConversion"/>
  </si>
  <si>
    <t>40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</si>
  <si>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</si>
  <si>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</si>
  <si>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</si>
  <si>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</si>
  <si>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</si>
  <si>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14000</t>
    <phoneticPr fontId="1" type="noConversion"/>
  </si>
  <si>
    <t>9800</t>
    <phoneticPr fontId="1" type="noConversion"/>
  </si>
  <si>
    <t>Place</t>
    <phoneticPr fontId="1" type="noConversion"/>
  </si>
  <si>
    <t xml:space="preserve">Total Laps </t>
    <phoneticPr fontId="1" type="noConversion"/>
  </si>
  <si>
    <t>Total Miles</t>
    <phoneticPr fontId="1" type="noConversion"/>
  </si>
  <si>
    <t>Total Run Time</t>
    <phoneticPr fontId="1" type="noConversion"/>
  </si>
  <si>
    <t>Total Feet Gained</t>
    <phoneticPr fontId="1" type="noConversion"/>
  </si>
  <si>
    <t>TEAM</t>
  </si>
  <si>
    <t>LAP1</t>
  </si>
  <si>
    <t>LAP1TIME</t>
  </si>
  <si>
    <t>LAP2</t>
  </si>
  <si>
    <t>LAP2TIME</t>
  </si>
  <si>
    <t>LAP3</t>
  </si>
  <si>
    <t>LAP3TIME</t>
  </si>
  <si>
    <t>LAP4</t>
  </si>
  <si>
    <t>LAP4TIME</t>
  </si>
  <si>
    <t>LAP5</t>
  </si>
  <si>
    <t>LAP5TIME</t>
  </si>
  <si>
    <t>LAP6</t>
  </si>
  <si>
    <t>LAP6TIME</t>
  </si>
  <si>
    <t>LAP7</t>
  </si>
  <si>
    <t>LAP7TIME</t>
  </si>
  <si>
    <t>LAP8</t>
  </si>
  <si>
    <t>LAP8TIME</t>
  </si>
  <si>
    <t>LAP9</t>
  </si>
  <si>
    <t>LAP9TIME</t>
  </si>
  <si>
    <t>LAP10</t>
  </si>
  <si>
    <t>LAP10TIME</t>
  </si>
  <si>
    <t>LAP11</t>
  </si>
  <si>
    <t>LAP11TIME</t>
  </si>
  <si>
    <t>LAP12</t>
  </si>
  <si>
    <t>LAP12TIME</t>
  </si>
  <si>
    <t>LAP13</t>
  </si>
  <si>
    <t>LAP13TIME</t>
  </si>
  <si>
    <t>LAP14</t>
  </si>
  <si>
    <t>Good Tush +Alcohol</t>
    <phoneticPr fontId="1" type="noConversion"/>
  </si>
  <si>
    <t>I'm With Stupid</t>
    <phoneticPr fontId="1" type="noConversion"/>
  </si>
  <si>
    <t>Pup N Suds</t>
    <phoneticPr fontId="1" type="noConversion"/>
  </si>
  <si>
    <t>2 Man Teams</t>
    <phoneticPr fontId="1" type="noConversion"/>
  </si>
  <si>
    <t>Yo - Yo Ma</t>
    <phoneticPr fontId="1" type="noConversion"/>
  </si>
  <si>
    <t>1</t>
    <phoneticPr fontId="1" type="noConversion"/>
  </si>
  <si>
    <t>Team OG</t>
    <phoneticPr fontId="1" type="noConversion"/>
  </si>
  <si>
    <t>2</t>
    <phoneticPr fontId="1" type="noConversion"/>
  </si>
  <si>
    <t>3</t>
    <phoneticPr fontId="1" type="noConversion"/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</si>
</sst>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h]:mm:ss"/>
    <numFmt numFmtId="165" formatCode="h:mm:ss"/>
    <numFmt numFmtId="166" formatCode="h:mm:ss"/>
    <numFmt numFmtId="167" formatCode="h:mm:ss"/>
    <numFmt numFmtId="168" formatCode="h:mm:ss"/>
    <numFmt numFmtId="169" formatCode="h:mm:ss"/>
    <numFmt numFmtId="170" formatCode="h:mm:ss"/>
  </numFmts>
  <fonts count="6">
    <font>
      <sz val="10"/>
      <color indexed="8"/>
      <name val="Arial"/>
    </font>
    <font>
      <sz val="8"/>
      <name val="Verdana"/>
    </font>
    <font>
      <sz val="14"/>
      <color indexed="8"/>
      <name val="Calibri"/>
    </font>
    <font>
      <sz val="14"/>
      <color indexed="8"/>
      <name val="Arial"/>
    </font>
    <font>
      <b/>
      <u/>
      <sz val="14"/>
      <color indexed="8"/>
      <name val="Arial"/>
    </font>
    <font>
      <b/>
      <u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Alignment="1">
      <alignment wrapText="1"/>
    </xf>
    <xf numFmtId="46" fontId="2" fillId="2" borderId="8" xfId="0" applyNumberFormat="1" applyFont="1" applyFill="1" applyBorder="1"/>
    <xf numFmtId="46" fontId="2" fillId="3" borderId="8" xfId="0" applyNumberFormat="1" applyFont="1" applyFill="1" applyBorder="1"/>
    <xf numFmtId="46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46" fontId="5" fillId="0" borderId="0" xfId="0" applyNumberFormat="1" applyFont="1"/>
    <xf numFmtId="1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wrapText="1"/>
    </xf>
    <xf numFmtId="46" fontId="2" fillId="3" borderId="0" xfId="0" applyNumberFormat="1" applyFont="1" applyFill="1"/>
    <xf numFmtId="0" fontId="2" fillId="3" borderId="0" xfId="0" applyFont="1" applyFill="1"/>
    <xf numFmtId="0" fontId="3" fillId="3" borderId="0" xfId="0" applyFont="1" applyFill="1" applyAlignment="1">
      <alignment wrapText="1"/>
    </xf>
    <xf numFmtId="0" fontId="2" fillId="2" borderId="8" xfId="0" applyFont="1" applyFill="1" applyBorder="1"/>
    <xf numFmtId="0" fontId="2" fillId="3" borderId="8" xfId="0" applyFont="1" applyFill="1" applyBorder="1"/>
    <xf numFmtId="0" fontId="5" fillId="0" borderId="0" xfId="0" applyFont="1"/>
    <xf numFmtId="0" fontId="2" fillId="0" borderId="0" xfId="0" applyFont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20" fontId="2" fillId="2" borderId="8" xfId="0" applyNumberFormat="1" applyFont="1" applyFill="1" applyBorder="1"/>
    <xf numFmtId="20" fontId="2" fillId="3" borderId="8" xfId="0" applyNumberFormat="1" applyFont="1" applyFill="1" applyBorder="1"/>
    <xf numFmtId="21" fontId="3" fillId="2" borderId="0" xfId="0" applyNumberFormat="1" applyFont="1" applyFill="1" applyAlignment="1">
      <alignment wrapText="1"/>
    </xf>
    <xf numFmtId="49" fontId="3" fillId="3" borderId="8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21" fontId="3" fillId="3" borderId="8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21" fontId="3" fillId="2" borderId="8" xfId="0" applyNumberFormat="1" applyFont="1" applyFill="1" applyBorder="1" applyAlignment="1">
      <alignment horizontal="center" wrapText="1"/>
    </xf>
    <xf numFmtId="21" fontId="2" fillId="2" borderId="8" xfId="0" applyNumberFormat="1" applyFont="1" applyFill="1" applyBorder="1"/>
    <xf numFmtId="21" fontId="2" fillId="3" borderId="8" xfId="0" applyNumberFormat="1" applyFont="1" applyFill="1" applyBorder="1"/>
    <xf numFmtId="21" fontId="2" fillId="2" borderId="8" xfId="0" applyNumberFormat="1" applyFont="1" applyFill="1" applyBorder="1" applyAlignment="1"/>
    <xf numFmtId="0" fontId="3" fillId="3" borderId="8" xfId="0" applyFont="1" applyFill="1" applyBorder="1"/>
    <xf numFmtId="21" fontId="2" fillId="3" borderId="8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/>
    <xf numFmtId="166" fontId="2" fillId="3" borderId="8" xfId="0" applyNumberFormat="1" applyFont="1" applyFill="1" applyBorder="1" applyAlignment="1"/>
    <xf numFmtId="168" fontId="2" fillId="3" borderId="8" xfId="0" applyNumberFormat="1" applyFont="1" applyFill="1" applyBorder="1" applyAlignment="1"/>
    <xf numFmtId="169" fontId="2" fillId="2" borderId="8" xfId="0" applyNumberFormat="1" applyFont="1" applyFill="1" applyBorder="1" applyAlignment="1"/>
    <xf numFmtId="46" fontId="2" fillId="3" borderId="9" xfId="0" applyNumberFormat="1" applyFont="1" applyFill="1" applyBorder="1"/>
    <xf numFmtId="49" fontId="2" fillId="3" borderId="9" xfId="0" applyNumberFormat="1" applyFont="1" applyFill="1" applyBorder="1" applyAlignment="1">
      <alignment horizontal="center"/>
    </xf>
    <xf numFmtId="21" fontId="2" fillId="3" borderId="9" xfId="0" applyNumberFormat="1" applyFont="1" applyFill="1" applyBorder="1"/>
    <xf numFmtId="21" fontId="2" fillId="3" borderId="9" xfId="0" applyNumberFormat="1" applyFont="1" applyFill="1" applyBorder="1" applyAlignment="1"/>
    <xf numFmtId="20" fontId="2" fillId="3" borderId="9" xfId="0" applyNumberFormat="1" applyFont="1" applyFill="1" applyBorder="1"/>
    <xf numFmtId="0" fontId="3" fillId="3" borderId="9" xfId="0" applyFont="1" applyFill="1" applyBorder="1" applyAlignment="1">
      <alignment horizontal="center" wrapText="1"/>
    </xf>
    <xf numFmtId="21" fontId="3" fillId="3" borderId="9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6" fontId="5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46" fontId="2" fillId="0" borderId="8" xfId="0" applyNumberFormat="1" applyFont="1" applyBorder="1"/>
    <xf numFmtId="21" fontId="2" fillId="0" borderId="8" xfId="0" applyNumberFormat="1" applyFont="1" applyFill="1" applyBorder="1"/>
    <xf numFmtId="21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19"/>
  <sheetViews>
    <sheetView tabSelected="1" workbookViewId="0">
      <pane ySplit="560" activePane="bottomLeft"/>
      <selection sqref="A1:XFD1"/>
      <selection pane="bottomLeft" activeCell="C19" sqref="C19"/>
    </sheetView>
  </sheetViews>
  <sheetFormatPr baseColWidth="10" defaultColWidth="13.5" defaultRowHeight="15" customHeight="1"/>
  <cols>
    <col min="1" max="1" width="24.83203125" style="3" customWidth="1"/>
    <col min="2" max="2" width="11.1640625" style="7" bestFit="1" customWidth="1"/>
    <col min="3" max="4" width="16" style="3" customWidth="1"/>
    <col min="5" max="5" width="13.5" style="3"/>
    <col min="6" max="6" width="11.83203125" style="3" customWidth="1"/>
    <col min="7" max="7" width="13.5" style="3"/>
    <col min="8" max="8" width="12.1640625" style="3" customWidth="1"/>
    <col min="9" max="9" width="13.5" style="3"/>
    <col min="10" max="10" width="12.1640625" style="3" customWidth="1"/>
    <col min="11" max="12" width="13.5" style="3"/>
    <col min="13" max="13" width="17.33203125" style="3" customWidth="1"/>
    <col min="14" max="14" width="12.1640625" style="3" customWidth="1"/>
    <col min="15" max="29" width="13.5" style="3"/>
    <col min="30" max="32" width="13.5" style="5"/>
    <col min="33" max="33" width="18.1640625" style="18" customWidth="1"/>
    <col min="34" max="16384" width="13.5" style="5"/>
  </cols>
  <sheetData>
    <row r="1" spans="1:33" ht="15" customHeight="1">
      <c r="A1" s="3" t="s">
        <v>26</v>
      </c>
      <c r="B1" s="4" t="s">
        <v>21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23" t="s">
        <v>22</v>
      </c>
      <c r="AE1" s="24" t="s">
        <v>23</v>
      </c>
      <c r="AF1" s="24" t="s">
        <v>24</v>
      </c>
      <c r="AG1" s="25" t="s">
        <v>25</v>
      </c>
    </row>
    <row r="2" spans="1:33" ht="15" customHeight="1">
      <c r="A2" s="51" t="s">
        <v>57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26"/>
      <c r="AE2" s="26"/>
      <c r="AF2" s="26"/>
      <c r="AG2" s="26"/>
    </row>
    <row r="3" spans="1:33" s="21" customFormat="1" ht="18">
      <c r="A3" s="32" t="s">
        <v>54</v>
      </c>
      <c r="B3" s="37" t="s">
        <v>62</v>
      </c>
      <c r="C3" s="32">
        <f>TIME(0,58,38)</f>
        <v>4.071759259259259E-2</v>
      </c>
      <c r="D3" s="32">
        <f>C3</f>
        <v>4.071759259259259E-2</v>
      </c>
      <c r="E3" s="32">
        <f>TIME(1,55,58)</f>
        <v>8.0532407407407414E-2</v>
      </c>
      <c r="F3" s="34">
        <f t="shared" ref="F3:F6" si="0">E3-C3</f>
        <v>3.9814814814814824E-2</v>
      </c>
      <c r="G3" s="32">
        <f>TIME(3,7,40)</f>
        <v>0.13032407407407406</v>
      </c>
      <c r="H3" s="32">
        <f t="shared" ref="H3:H7" si="1">G3-E3</f>
        <v>4.9791666666666651E-2</v>
      </c>
      <c r="I3" s="32">
        <f>TIME(4,7,16)</f>
        <v>0.17171296296296298</v>
      </c>
      <c r="J3" s="32">
        <f t="shared" ref="J3:J7" si="2">I3-G3</f>
        <v>4.1388888888888919E-2</v>
      </c>
      <c r="K3" s="32">
        <f>TIME(5,26,59)</f>
        <v>0.22707175925925926</v>
      </c>
      <c r="L3" s="32">
        <f t="shared" ref="L3:L7" si="3">K3-I3</f>
        <v>5.5358796296296281E-2</v>
      </c>
      <c r="M3" s="32">
        <f>TIME(6,38,38)</f>
        <v>0.27682870370370372</v>
      </c>
      <c r="N3" s="32">
        <f t="shared" ref="N3:N7" si="4">M3-K3</f>
        <v>4.9756944444444451E-2</v>
      </c>
      <c r="O3" s="32">
        <f>TIME(8,5,0)</f>
        <v>0.33680555555555558</v>
      </c>
      <c r="P3" s="32">
        <f>O3-M3</f>
        <v>5.9976851851851865E-2</v>
      </c>
      <c r="Q3" s="32">
        <f>TIME(9,28,0)</f>
        <v>0.39444444444444443</v>
      </c>
      <c r="R3" s="32">
        <f>Q3-O3</f>
        <v>5.7638888888888851E-2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7" t="s">
        <v>12</v>
      </c>
      <c r="AE3" s="27" t="s">
        <v>13</v>
      </c>
      <c r="AF3" s="31">
        <f>SUM(D3+F3+H3)+J3+L3+N3+P3+R3+T3+V3+X3+Z3+AB3</f>
        <v>0.39444444444444443</v>
      </c>
      <c r="AG3" s="27" t="s">
        <v>19</v>
      </c>
    </row>
    <row r="4" spans="1:33" s="11" customFormat="1" ht="18">
      <c r="A4" s="2" t="s">
        <v>55</v>
      </c>
      <c r="B4" s="38" t="s">
        <v>0</v>
      </c>
      <c r="C4" s="33">
        <f>TIME(0,55,26)</f>
        <v>3.8495370370370367E-2</v>
      </c>
      <c r="D4" s="33">
        <f t="shared" ref="D4" si="5">C4</f>
        <v>3.8495370370370367E-2</v>
      </c>
      <c r="E4" s="33">
        <f>TIME(2,8,0)</f>
        <v>8.8888888888888892E-2</v>
      </c>
      <c r="F4" s="36">
        <f t="shared" si="0"/>
        <v>5.0393518518518525E-2</v>
      </c>
      <c r="G4" s="33">
        <f>TIME(3,11,36)</f>
        <v>0.13305555555555557</v>
      </c>
      <c r="H4" s="33">
        <f t="shared" si="1"/>
        <v>4.4166666666666674E-2</v>
      </c>
      <c r="I4" s="33">
        <f>TIME(4,29,50)</f>
        <v>0.18738425925925925</v>
      </c>
      <c r="J4" s="33">
        <f t="shared" si="2"/>
        <v>5.4328703703703685E-2</v>
      </c>
      <c r="K4" s="33">
        <f>TIME(5,44,6)</f>
        <v>0.23895833333333336</v>
      </c>
      <c r="L4" s="33">
        <f t="shared" si="3"/>
        <v>5.1574074074074105E-2</v>
      </c>
      <c r="M4" s="33">
        <f>TIME(7,8,30)</f>
        <v>0.29756944444444444</v>
      </c>
      <c r="N4" s="33">
        <f t="shared" si="4"/>
        <v>5.8611111111111086E-2</v>
      </c>
      <c r="O4" s="33">
        <f>TIME(8,31,35)</f>
        <v>0.35526620370370371</v>
      </c>
      <c r="P4" s="33">
        <f>O4-M4</f>
        <v>5.7696759259259267E-2</v>
      </c>
      <c r="Q4" s="33">
        <f>TIME(10,5,8)</f>
        <v>0.42023148148148143</v>
      </c>
      <c r="R4" s="20">
        <f>Q4-O4</f>
        <v>6.4965277777777719E-2</v>
      </c>
      <c r="S4" s="33"/>
      <c r="T4" s="33"/>
      <c r="U4" s="33"/>
      <c r="V4" s="33"/>
      <c r="W4" s="13"/>
      <c r="X4" s="2"/>
      <c r="Y4" s="13"/>
      <c r="Z4" s="13"/>
      <c r="AA4" s="13"/>
      <c r="AB4" s="13"/>
      <c r="AC4" s="13"/>
      <c r="AD4" s="28">
        <v>8</v>
      </c>
      <c r="AE4" s="28">
        <v>40</v>
      </c>
      <c r="AF4" s="29">
        <f t="shared" ref="AF3:AF7" si="6">SUM(D4+F4+H4)+J4+L4+N4+P4+R4+T4+V4+X4+Z4+AB4</f>
        <v>0.42023148148148143</v>
      </c>
      <c r="AG4" s="22">
        <f>AD4*1400</f>
        <v>11200</v>
      </c>
    </row>
    <row r="5" spans="1:33" s="8" customFormat="1" ht="21" customHeight="1">
      <c r="A5" s="1" t="s">
        <v>56</v>
      </c>
      <c r="B5" s="37" t="s">
        <v>59</v>
      </c>
      <c r="C5" s="32">
        <f>TIME(0,42,45)</f>
        <v>2.9687500000000002E-2</v>
      </c>
      <c r="D5" s="32">
        <f>C5</f>
        <v>2.9687500000000002E-2</v>
      </c>
      <c r="E5" s="34">
        <f>TIME(1,24,20)</f>
        <v>5.8564814814814813E-2</v>
      </c>
      <c r="F5" s="34">
        <f t="shared" si="0"/>
        <v>2.8877314814814811E-2</v>
      </c>
      <c r="G5" s="32">
        <f>TIME(2,17,20)</f>
        <v>9.5370370370370369E-2</v>
      </c>
      <c r="H5" s="32">
        <f t="shared" si="1"/>
        <v>3.6805555555555557E-2</v>
      </c>
      <c r="I5" s="32">
        <f>TIME(2,59,30)</f>
        <v>0.12465277777777778</v>
      </c>
      <c r="J5" s="32">
        <f t="shared" si="2"/>
        <v>2.928240740740741E-2</v>
      </c>
      <c r="K5" s="32">
        <f>TIME(4,5,20)</f>
        <v>0.17037037037037037</v>
      </c>
      <c r="L5" s="32">
        <f t="shared" si="3"/>
        <v>4.5717592592592587E-2</v>
      </c>
      <c r="M5" s="32">
        <f>TIME(4,50,0)</f>
        <v>0.20138888888888887</v>
      </c>
      <c r="N5" s="32">
        <f t="shared" si="4"/>
        <v>3.1018518518518501E-2</v>
      </c>
      <c r="O5" s="1">
        <f>TIME(5,56,0)</f>
        <v>0.24722222222222223</v>
      </c>
      <c r="P5" s="32">
        <f>O5-M5</f>
        <v>4.5833333333333365E-2</v>
      </c>
      <c r="Q5" s="1">
        <f>TIME(6,45,0)</f>
        <v>0.28125</v>
      </c>
      <c r="R5" s="32">
        <f>Q5-O5</f>
        <v>3.4027777777777768E-2</v>
      </c>
      <c r="S5" s="1">
        <f>TIME(7,57,30)</f>
        <v>0.33159722222222221</v>
      </c>
      <c r="T5" s="32">
        <f>S5-Q5</f>
        <v>5.034722222222221E-2</v>
      </c>
      <c r="U5" s="1">
        <f>TIME(9,2,0)</f>
        <v>0.37638888888888888</v>
      </c>
      <c r="V5" s="32">
        <f>U5-S5</f>
        <v>4.4791666666666674E-2</v>
      </c>
      <c r="W5" s="1"/>
      <c r="X5" s="1"/>
      <c r="Y5" s="1"/>
      <c r="Z5" s="1"/>
      <c r="AA5" s="1"/>
      <c r="AB5" s="1"/>
      <c r="AC5" s="1"/>
      <c r="AD5" s="30">
        <v>10</v>
      </c>
      <c r="AE5" s="30">
        <v>50</v>
      </c>
      <c r="AF5" s="31">
        <f t="shared" si="6"/>
        <v>0.37638888888888888</v>
      </c>
      <c r="AG5" s="30">
        <f>AD5*1400</f>
        <v>14000</v>
      </c>
    </row>
    <row r="6" spans="1:33" s="11" customFormat="1" ht="18">
      <c r="A6" s="35" t="s">
        <v>58</v>
      </c>
      <c r="B6" s="38" t="s">
        <v>1</v>
      </c>
      <c r="C6" s="33">
        <f>TIME(0,55,26)</f>
        <v>3.8495370370370367E-2</v>
      </c>
      <c r="D6" s="33">
        <f>C6</f>
        <v>3.8495370370370367E-2</v>
      </c>
      <c r="E6" s="33">
        <f>TIME(2,18,0)</f>
        <v>9.5833333333333326E-2</v>
      </c>
      <c r="F6" s="36">
        <f t="shared" si="0"/>
        <v>5.7337962962962959E-2</v>
      </c>
      <c r="G6" s="33">
        <f>TIME(3,19,0)</f>
        <v>0.13819444444444443</v>
      </c>
      <c r="H6" s="20">
        <f t="shared" si="1"/>
        <v>4.2361111111111099E-2</v>
      </c>
      <c r="I6" s="33">
        <f>TIME(4,40,0)</f>
        <v>0.19444444444444445</v>
      </c>
      <c r="J6" s="20">
        <f t="shared" si="2"/>
        <v>5.6250000000000022E-2</v>
      </c>
      <c r="K6" s="33">
        <f>TIME(5,35,30)</f>
        <v>0.23298611111111112</v>
      </c>
      <c r="L6" s="33">
        <f t="shared" si="3"/>
        <v>3.8541666666666669E-2</v>
      </c>
      <c r="M6" s="20">
        <f>TIME(7,30,40)</f>
        <v>0.31296296296296294</v>
      </c>
      <c r="N6" s="33">
        <f t="shared" si="4"/>
        <v>7.9976851851851827E-2</v>
      </c>
      <c r="O6" s="33"/>
      <c r="P6" s="20"/>
      <c r="Q6" s="13"/>
      <c r="R6" s="2"/>
      <c r="S6" s="13"/>
      <c r="T6" s="2"/>
      <c r="U6" s="13"/>
      <c r="V6" s="2"/>
      <c r="W6" s="13"/>
      <c r="X6" s="2"/>
      <c r="Y6" s="13"/>
      <c r="Z6" s="13"/>
      <c r="AA6" s="13"/>
      <c r="AB6" s="13"/>
      <c r="AC6" s="13"/>
      <c r="AD6" s="28">
        <v>6</v>
      </c>
      <c r="AE6" s="28">
        <v>30</v>
      </c>
      <c r="AF6" s="29">
        <f t="shared" si="6"/>
        <v>0.31296296296296294</v>
      </c>
      <c r="AG6" s="22" t="s">
        <v>20</v>
      </c>
    </row>
    <row r="7" spans="1:33" s="8" customFormat="1" ht="18">
      <c r="A7" s="1" t="s">
        <v>60</v>
      </c>
      <c r="B7" s="37" t="s">
        <v>61</v>
      </c>
      <c r="C7" s="32">
        <f>TIME(0,53,48)</f>
        <v>3.7361111111111109E-2</v>
      </c>
      <c r="D7" s="32">
        <f>TIME(1,12,13)</f>
        <v>5.0150462962962966E-2</v>
      </c>
      <c r="E7" s="32">
        <f>TIME(1,42,50)</f>
        <v>7.1412037037037038E-2</v>
      </c>
      <c r="F7" s="34">
        <f>E7-C7</f>
        <v>3.4050925925925929E-2</v>
      </c>
      <c r="G7" s="32">
        <f>TIME(2,36,0)</f>
        <v>0.10833333333333334</v>
      </c>
      <c r="H7" s="1">
        <f t="shared" si="1"/>
        <v>3.6921296296296299E-2</v>
      </c>
      <c r="I7" s="32">
        <f>TIME(3,31,11)</f>
        <v>0.1466550925925926</v>
      </c>
      <c r="J7" s="19">
        <f t="shared" si="2"/>
        <v>3.8321759259259264E-2</v>
      </c>
      <c r="K7" s="32">
        <f>TIME(4,32,0)</f>
        <v>0.18888888888888888</v>
      </c>
      <c r="L7" s="32">
        <f t="shared" si="3"/>
        <v>4.2233796296296283E-2</v>
      </c>
      <c r="M7" s="19">
        <f>TIME(5,26,38)</f>
        <v>0.2268287037037037</v>
      </c>
      <c r="N7" s="32">
        <f t="shared" si="4"/>
        <v>3.7939814814814815E-2</v>
      </c>
      <c r="O7" s="32">
        <f>TIME(6,33,0)</f>
        <v>0.27291666666666664</v>
      </c>
      <c r="P7" s="19">
        <f>O7-M7</f>
        <v>4.6087962962962942E-2</v>
      </c>
      <c r="Q7" s="1">
        <f>TIME(7,29,23)</f>
        <v>0.31207175925925928</v>
      </c>
      <c r="R7" s="32">
        <f>Q7-O7</f>
        <v>3.9155092592592644E-2</v>
      </c>
      <c r="S7" s="12"/>
      <c r="T7" s="1"/>
      <c r="U7" s="12"/>
      <c r="V7" s="1"/>
      <c r="W7" s="12"/>
      <c r="X7" s="1"/>
      <c r="Y7" s="12"/>
      <c r="Z7" s="12"/>
      <c r="AA7" s="12"/>
      <c r="AB7" s="12"/>
      <c r="AC7" s="12"/>
      <c r="AD7" s="30">
        <v>8</v>
      </c>
      <c r="AE7" s="30">
        <v>40</v>
      </c>
      <c r="AF7" s="31">
        <f t="shared" si="6"/>
        <v>0.32486111111111116</v>
      </c>
      <c r="AG7" s="27">
        <f t="shared" ref="AG7" si="7">AD7*1400</f>
        <v>11200</v>
      </c>
    </row>
    <row r="9" spans="1:33" ht="15" customHeight="1">
      <c r="A9" s="6" t="s">
        <v>2</v>
      </c>
    </row>
    <row r="10" spans="1:33" s="11" customFormat="1" ht="18">
      <c r="A10" s="2" t="s">
        <v>3</v>
      </c>
      <c r="B10" s="38" t="s">
        <v>17</v>
      </c>
      <c r="C10" s="33">
        <f>TIME(1,7,0)</f>
        <v>4.6527777777777779E-2</v>
      </c>
      <c r="D10" s="33">
        <f t="shared" ref="D10:D18" si="8">C10</f>
        <v>4.6527777777777779E-2</v>
      </c>
      <c r="E10" s="33">
        <f>TIME(2,9,0)</f>
        <v>8.9583333333333334E-2</v>
      </c>
      <c r="F10" s="36">
        <f>E10-C10</f>
        <v>4.3055555555555555E-2</v>
      </c>
      <c r="G10" s="33">
        <f>TIME(3,31,0)</f>
        <v>0.14652777777777778</v>
      </c>
      <c r="H10" s="20">
        <f>G10-E10</f>
        <v>5.694444444444445E-2</v>
      </c>
      <c r="I10" s="33">
        <f>TIME(4,48,0)</f>
        <v>0.19999999999999998</v>
      </c>
      <c r="J10" s="20">
        <f>I10-G10</f>
        <v>5.3472222222222199E-2</v>
      </c>
      <c r="K10" s="33">
        <f>TIME(6,2,0)</f>
        <v>0.25138888888888888</v>
      </c>
      <c r="L10" s="33">
        <f>K10-I10</f>
        <v>5.1388888888888901E-2</v>
      </c>
      <c r="M10" s="20">
        <f>TIME(7,5,0)</f>
        <v>0.2951388888888889</v>
      </c>
      <c r="N10" s="33">
        <f>M10-K10</f>
        <v>4.3750000000000011E-2</v>
      </c>
      <c r="O10" s="33">
        <f>TIME(8,43,0)</f>
        <v>0.36319444444444443</v>
      </c>
      <c r="P10" s="33">
        <f>O10-M10</f>
        <v>6.8055555555555536E-2</v>
      </c>
      <c r="Q10" s="33">
        <f>TIME(10,2,0)</f>
        <v>0.41805555555555557</v>
      </c>
      <c r="R10" s="33">
        <f>Q10-O10</f>
        <v>5.4861111111111138E-2</v>
      </c>
      <c r="S10" s="2"/>
      <c r="T10" s="2"/>
      <c r="U10" s="13"/>
      <c r="V10" s="2"/>
      <c r="W10" s="13"/>
      <c r="X10" s="2"/>
      <c r="Y10" s="13"/>
      <c r="Z10" s="13"/>
      <c r="AA10" s="13"/>
      <c r="AB10" s="13"/>
      <c r="AC10" s="13"/>
      <c r="AD10" s="28">
        <v>8</v>
      </c>
      <c r="AE10" s="28">
        <v>40</v>
      </c>
      <c r="AF10" s="29">
        <f>SUM(D10+F10+H10)+J10+L10+N10+P10+R10+T10+V10+X10+Z10+AB10</f>
        <v>0.41805555555555557</v>
      </c>
      <c r="AG10" s="22">
        <f>AD10*1400</f>
        <v>11200</v>
      </c>
    </row>
    <row r="11" spans="1:33" s="8" customFormat="1" ht="18">
      <c r="A11" s="1" t="s">
        <v>4</v>
      </c>
      <c r="B11" s="37" t="s">
        <v>18</v>
      </c>
      <c r="C11" s="32">
        <f>TIME(0,58,10)</f>
        <v>4.0393518518518516E-2</v>
      </c>
      <c r="D11" s="32">
        <f t="shared" si="8"/>
        <v>4.0393518518518516E-2</v>
      </c>
      <c r="E11" s="32">
        <f>TIME(2,9,0)</f>
        <v>8.9583333333333334E-2</v>
      </c>
      <c r="F11" s="34">
        <f>E11-C11</f>
        <v>4.9189814814814818E-2</v>
      </c>
      <c r="G11" s="32">
        <f>TIME(3,26,0)</f>
        <v>0.14305555555555557</v>
      </c>
      <c r="H11" s="1">
        <f>G11-E11</f>
        <v>5.347222222222224E-2</v>
      </c>
      <c r="I11" s="32">
        <f>TIME(5,10,0)</f>
        <v>0.21527777777777779</v>
      </c>
      <c r="J11" s="1">
        <f>I11-G11</f>
        <v>7.2222222222222215E-2</v>
      </c>
      <c r="K11" s="32">
        <f>TIME(6,22,0)</f>
        <v>0.26527777777777778</v>
      </c>
      <c r="L11" s="32">
        <f>K11-I11</f>
        <v>4.9999999999999989E-2</v>
      </c>
      <c r="M11" s="32">
        <f>TIME(7,33,0)</f>
        <v>0.31458333333333333</v>
      </c>
      <c r="N11" s="32">
        <f>M11-K11</f>
        <v>4.9305555555555547E-2</v>
      </c>
      <c r="O11" s="32">
        <f>TIME(9,25,0)</f>
        <v>0.3923611111111111</v>
      </c>
      <c r="P11" s="39">
        <v>0.05</v>
      </c>
      <c r="Q11" s="32"/>
      <c r="R11" s="1"/>
      <c r="S11" s="19"/>
      <c r="T11" s="1"/>
      <c r="U11" s="32"/>
      <c r="V11" s="1"/>
      <c r="W11" s="12"/>
      <c r="X11" s="1"/>
      <c r="Y11" s="12"/>
      <c r="Z11" s="12"/>
      <c r="AA11" s="12"/>
      <c r="AB11" s="12"/>
      <c r="AC11" s="12"/>
      <c r="AD11" s="30">
        <v>7</v>
      </c>
      <c r="AE11" s="30">
        <v>35</v>
      </c>
      <c r="AF11" s="31">
        <f>SUM(D11+F11+H11)+J11+L11+N11+P11+R11+T11+V11+X11+Z11+AB11</f>
        <v>0.36458333333333331</v>
      </c>
      <c r="AG11" s="27">
        <f>AD11*1400</f>
        <v>9800</v>
      </c>
    </row>
    <row r="12" spans="1:33" s="11" customFormat="1" ht="18">
      <c r="A12" s="2" t="s">
        <v>5</v>
      </c>
      <c r="B12" s="38" t="s">
        <v>9</v>
      </c>
      <c r="C12" s="33">
        <f>TIME(1,2,15)</f>
        <v>4.3229166666666673E-2</v>
      </c>
      <c r="D12" s="33">
        <f t="shared" si="8"/>
        <v>4.3229166666666673E-2</v>
      </c>
      <c r="E12" s="33">
        <f>TIME(2,6,2)</f>
        <v>8.7523148148148155E-2</v>
      </c>
      <c r="F12" s="36">
        <f>E12-C12</f>
        <v>4.4293981481481483E-2</v>
      </c>
      <c r="G12" s="33">
        <f>TIME(3,11,7)</f>
        <v>0.13271990740740741</v>
      </c>
      <c r="H12" s="2">
        <f>G12-E12</f>
        <v>4.5196759259259256E-2</v>
      </c>
      <c r="I12" s="33">
        <f>TIME(4,19,20)</f>
        <v>0.18009259259259258</v>
      </c>
      <c r="J12" s="20">
        <f>I12-G12</f>
        <v>4.737268518518517E-2</v>
      </c>
      <c r="K12" s="33">
        <f>TIME(5,21,29)</f>
        <v>0.22325231481481481</v>
      </c>
      <c r="L12" s="33">
        <f>K12-I12</f>
        <v>4.3159722222222224E-2</v>
      </c>
      <c r="M12" s="33">
        <f>TIME(6,28,30)</f>
        <v>0.26979166666666665</v>
      </c>
      <c r="N12" s="33">
        <f>M12-K12</f>
        <v>4.6539351851851846E-2</v>
      </c>
      <c r="O12" s="33">
        <f>TIME(7,35,5)</f>
        <v>0.31603009259259257</v>
      </c>
      <c r="P12" s="40">
        <v>4.3159722222222197E-2</v>
      </c>
      <c r="Q12" s="33">
        <f>TIME(8,30,30)</f>
        <v>0.35451388888888885</v>
      </c>
      <c r="R12" s="40">
        <v>4.3159722222222197E-2</v>
      </c>
      <c r="S12" s="33">
        <f>TIME(10,5,35)</f>
        <v>0.42054398148148148</v>
      </c>
      <c r="T12" s="40">
        <v>4.3159722222222197E-2</v>
      </c>
      <c r="U12" s="33">
        <f>TIME(11,29,0)</f>
        <v>0.47847222222222219</v>
      </c>
      <c r="V12" s="41">
        <v>4.3159722222222197E-2</v>
      </c>
      <c r="W12" s="13"/>
      <c r="X12" s="2"/>
      <c r="Y12" s="13"/>
      <c r="Z12" s="13"/>
      <c r="AA12" s="13"/>
      <c r="AB12" s="13"/>
      <c r="AC12" s="13"/>
      <c r="AD12" s="28">
        <v>10</v>
      </c>
      <c r="AE12" s="28">
        <v>50</v>
      </c>
      <c r="AF12" s="29">
        <f>SUM(D12+F12+H12)+J12+L12+N12+P12+R12+T12+V12+X12+Z12+AB12</f>
        <v>0.44243055555555544</v>
      </c>
      <c r="AG12" s="22">
        <f>AD12*1400</f>
        <v>14000</v>
      </c>
    </row>
    <row r="13" spans="1:33" s="8" customFormat="1" ht="18">
      <c r="A13" s="1" t="s">
        <v>6</v>
      </c>
      <c r="B13" s="37" t="s">
        <v>61</v>
      </c>
      <c r="C13" s="32">
        <f>TIME(0,53,48)</f>
        <v>3.7361111111111109E-2</v>
      </c>
      <c r="D13" s="32">
        <f t="shared" si="8"/>
        <v>3.7361111111111109E-2</v>
      </c>
      <c r="E13" s="32">
        <f>TIME(1,58,0)</f>
        <v>8.1944444444444445E-2</v>
      </c>
      <c r="F13" s="34">
        <f>E13-C13</f>
        <v>4.4583333333333336E-2</v>
      </c>
      <c r="G13" s="32">
        <f>TIME(3,6,0)</f>
        <v>0.12916666666666668</v>
      </c>
      <c r="H13" s="1">
        <f>G13-E13</f>
        <v>4.7222222222222235E-2</v>
      </c>
      <c r="I13" s="32">
        <f>TIME(4,17,0)</f>
        <v>0.17847222222222223</v>
      </c>
      <c r="J13" s="19">
        <f>I13-G13</f>
        <v>4.9305555555555547E-2</v>
      </c>
      <c r="K13" s="32">
        <f>TIME(5,14,0)</f>
        <v>0.21805555555555556</v>
      </c>
      <c r="L13" s="32">
        <f>K13-I13</f>
        <v>3.9583333333333331E-2</v>
      </c>
      <c r="M13" s="32">
        <f>TIME(6,16,0)</f>
        <v>0.26111111111111113</v>
      </c>
      <c r="N13" s="32">
        <f>M13-K13</f>
        <v>4.3055555555555569E-2</v>
      </c>
      <c r="O13" s="32">
        <f>TIME(7,30,0)</f>
        <v>0.3125</v>
      </c>
      <c r="P13" s="42">
        <v>3.9583333333333297E-2</v>
      </c>
      <c r="Q13" s="32">
        <f>TIME(8,51,0)</f>
        <v>0.36874999999999997</v>
      </c>
      <c r="R13" s="42">
        <v>3.9583333333333297E-2</v>
      </c>
      <c r="S13" s="32">
        <f>TIME(9,59,0)</f>
        <v>0.41597222222222219</v>
      </c>
      <c r="T13" s="42">
        <v>3.9583333333333297E-2</v>
      </c>
      <c r="U13" s="32">
        <f>TIME(11,27,0)</f>
        <v>0.4770833333333333</v>
      </c>
      <c r="V13" s="42">
        <v>3.9583333333333297E-2</v>
      </c>
      <c r="W13" s="12"/>
      <c r="X13" s="1"/>
      <c r="Y13" s="12"/>
      <c r="Z13" s="12"/>
      <c r="AA13" s="12"/>
      <c r="AB13" s="12"/>
      <c r="AC13" s="12"/>
      <c r="AD13" s="30">
        <v>10</v>
      </c>
      <c r="AE13" s="30">
        <v>50</v>
      </c>
      <c r="AF13" s="31">
        <f>SUM(D13+F13+H13)+J13+L13+N13+P13+R13+T13+V13+X13+Z13+AB13</f>
        <v>0.41944444444444434</v>
      </c>
      <c r="AG13" s="30">
        <f>AD13*1400</f>
        <v>14000</v>
      </c>
    </row>
    <row r="14" spans="1:33" s="11" customFormat="1" ht="23" customHeight="1">
      <c r="A14" s="2" t="s">
        <v>7</v>
      </c>
      <c r="B14" s="38" t="s">
        <v>14</v>
      </c>
      <c r="C14" s="33">
        <f>TIME(0,52,30)</f>
        <v>3.6458333333333336E-2</v>
      </c>
      <c r="D14" s="33">
        <f t="shared" si="8"/>
        <v>3.6458333333333336E-2</v>
      </c>
      <c r="E14" s="33">
        <f>TIME(2,1,0)</f>
        <v>8.4027777777777771E-2</v>
      </c>
      <c r="F14" s="36">
        <f>E14-C14</f>
        <v>4.7569444444444435E-2</v>
      </c>
      <c r="G14" s="33">
        <f>TIME(3,6,0)</f>
        <v>0.12916666666666668</v>
      </c>
      <c r="H14" s="2">
        <f>G14-E14</f>
        <v>4.5138888888888909E-2</v>
      </c>
      <c r="I14" s="33">
        <f>TIME(4,17,0)</f>
        <v>0.17847222222222223</v>
      </c>
      <c r="J14" s="20">
        <f>I14-G14</f>
        <v>4.9305555555555547E-2</v>
      </c>
      <c r="K14" s="33">
        <f>TIME(5,14,0)</f>
        <v>0.21805555555555556</v>
      </c>
      <c r="L14" s="20">
        <f>K14-I14</f>
        <v>3.9583333333333331E-2</v>
      </c>
      <c r="M14" s="33">
        <f>TIME(6,16,0)</f>
        <v>0.26111111111111113</v>
      </c>
      <c r="N14" s="20">
        <f>M14-K14</f>
        <v>4.3055555555555569E-2</v>
      </c>
      <c r="O14" s="33">
        <f>TIME(7,30,0)</f>
        <v>0.3125</v>
      </c>
      <c r="P14" s="20">
        <f>O14-M14</f>
        <v>5.1388888888888873E-2</v>
      </c>
      <c r="Q14" s="33">
        <f>TIME(8,51,0)</f>
        <v>0.36874999999999997</v>
      </c>
      <c r="R14" s="20">
        <f>Q14-O14</f>
        <v>5.6249999999999967E-2</v>
      </c>
      <c r="S14" s="33">
        <f>TIME(9,59,0)</f>
        <v>0.41597222222222219</v>
      </c>
      <c r="T14" s="20">
        <f>S14-Q14</f>
        <v>4.7222222222222221E-2</v>
      </c>
      <c r="U14" s="33">
        <f>TIME(11,29,0)</f>
        <v>0.47847222222222219</v>
      </c>
      <c r="V14" s="20">
        <f>U14-S14</f>
        <v>6.25E-2</v>
      </c>
      <c r="W14" s="2"/>
      <c r="X14" s="2"/>
      <c r="Y14" s="2"/>
      <c r="Z14" s="2"/>
      <c r="AA14" s="2"/>
      <c r="AB14" s="2"/>
      <c r="AC14" s="2"/>
      <c r="AD14" s="28">
        <v>10</v>
      </c>
      <c r="AE14" s="28">
        <v>50</v>
      </c>
      <c r="AF14" s="29">
        <f>SUM(D14+F14+H14)+J14+L14+N14+P14+R14+T14+V14+X14+Z14+AB14</f>
        <v>0.47847222222222219</v>
      </c>
      <c r="AG14" s="22">
        <f>AD14*1400</f>
        <v>14000</v>
      </c>
    </row>
    <row r="15" spans="1:33" s="8" customFormat="1" ht="18">
      <c r="A15" s="1" t="s">
        <v>8</v>
      </c>
      <c r="B15" s="37" t="s">
        <v>59</v>
      </c>
      <c r="C15" s="32">
        <f>TIME(0,58,1)</f>
        <v>4.0289351851851847E-2</v>
      </c>
      <c r="D15" s="32">
        <f t="shared" si="8"/>
        <v>4.0289351851851847E-2</v>
      </c>
      <c r="E15" s="32">
        <f>TIME(1,52,0)</f>
        <v>7.7777777777777779E-2</v>
      </c>
      <c r="F15" s="34">
        <f>E15-C15</f>
        <v>3.7488425925925932E-2</v>
      </c>
      <c r="G15" s="32">
        <f>TIME(2,43,0)</f>
        <v>0.11319444444444444</v>
      </c>
      <c r="H15" s="1">
        <f>G15-E15</f>
        <v>3.5416666666666666E-2</v>
      </c>
      <c r="I15" s="32">
        <f>TIME(3,36,0)</f>
        <v>0.15</v>
      </c>
      <c r="J15" s="19">
        <f>I15-G15</f>
        <v>3.680555555555555E-2</v>
      </c>
      <c r="K15" s="32">
        <f>TIME(4,27,0)</f>
        <v>0.18541666666666667</v>
      </c>
      <c r="L15" s="32">
        <f>K15-I15</f>
        <v>3.541666666666668E-2</v>
      </c>
      <c r="M15" s="32">
        <f>TIME(5,20,0)</f>
        <v>0.22222222222222221</v>
      </c>
      <c r="N15" s="32">
        <f>M15-K15</f>
        <v>3.6805555555555536E-2</v>
      </c>
      <c r="O15" s="32">
        <f>TIME(6,13,0)</f>
        <v>0.2590277777777778</v>
      </c>
      <c r="P15" s="32">
        <f>O15-M15</f>
        <v>3.6805555555555591E-2</v>
      </c>
      <c r="Q15" s="32">
        <f>TIME(7,14,1)</f>
        <v>0.30140046296296297</v>
      </c>
      <c r="R15" s="32">
        <f>Q15-O15</f>
        <v>4.2372685185185166E-2</v>
      </c>
      <c r="S15" s="32">
        <f>TIME(8,13,20)</f>
        <v>0.34259259259259256</v>
      </c>
      <c r="T15" s="32">
        <f>S15-Q15</f>
        <v>4.1192129629629592E-2</v>
      </c>
      <c r="U15" s="32">
        <f>TIME(9,15,30)</f>
        <v>0.38576388888888885</v>
      </c>
      <c r="V15" s="32">
        <f>U15-S15</f>
        <v>4.3171296296296291E-2</v>
      </c>
      <c r="W15" s="32">
        <f>TIME(10,25,)</f>
        <v>0.43402777777777773</v>
      </c>
      <c r="X15" s="32">
        <f>W15-U15</f>
        <v>4.8263888888888884E-2</v>
      </c>
      <c r="Y15" s="12"/>
      <c r="Z15" s="12"/>
      <c r="AA15" s="12"/>
      <c r="AB15" s="12"/>
      <c r="AC15" s="12"/>
      <c r="AD15" s="30">
        <v>11</v>
      </c>
      <c r="AE15" s="30">
        <v>55</v>
      </c>
      <c r="AF15" s="31">
        <f>SUM(D15+F15+H15)+J15+L15+N15+P15+R15+T15+V15+X15+Z15+AB15</f>
        <v>0.43402777777777773</v>
      </c>
      <c r="AG15" s="30">
        <f>AD15*1400</f>
        <v>15400</v>
      </c>
    </row>
    <row r="16" spans="1:33" s="11" customFormat="1" ht="18">
      <c r="A16" s="2" t="s">
        <v>10</v>
      </c>
      <c r="B16" s="38" t="s">
        <v>15</v>
      </c>
      <c r="C16" s="33">
        <f>TIME(0,58,1)</f>
        <v>4.0289351851851847E-2</v>
      </c>
      <c r="D16" s="33">
        <f t="shared" si="8"/>
        <v>4.0289351851851847E-2</v>
      </c>
      <c r="E16" s="33">
        <f>TIME(1,59,0)</f>
        <v>8.2638888888888887E-2</v>
      </c>
      <c r="F16" s="36">
        <f>E16-C16</f>
        <v>4.234953703703704E-2</v>
      </c>
      <c r="G16" s="33">
        <f>TIME(3,16,0)</f>
        <v>0.1361111111111111</v>
      </c>
      <c r="H16" s="2">
        <f>G16-E16</f>
        <v>5.3472222222222213E-2</v>
      </c>
      <c r="I16" s="54">
        <f>TIME(4,15,0)</f>
        <v>0.17708333333333334</v>
      </c>
      <c r="J16" s="20">
        <f>I16-G16</f>
        <v>4.0972222222222243E-2</v>
      </c>
      <c r="K16" s="33">
        <f>TIME(5,25,0)</f>
        <v>0.22569444444444445</v>
      </c>
      <c r="L16" s="33">
        <f>K16-I16</f>
        <v>4.8611111111111105E-2</v>
      </c>
      <c r="M16" s="33">
        <f>TIME(6,32,0)</f>
        <v>0.2722222222222222</v>
      </c>
      <c r="N16" s="33">
        <f>M16-K16</f>
        <v>4.6527777777777751E-2</v>
      </c>
      <c r="O16" s="33">
        <f>TIME(7,32,0)</f>
        <v>0.31388888888888888</v>
      </c>
      <c r="P16" s="33">
        <f>O16-M16</f>
        <v>4.1666666666666685E-2</v>
      </c>
      <c r="Q16" s="33">
        <f>TIME(8,50,0)</f>
        <v>0.36805555555555558</v>
      </c>
      <c r="R16" s="33">
        <f>Q16-O16</f>
        <v>5.4166666666666696E-2</v>
      </c>
      <c r="S16" s="33">
        <f>TIME(10,20,0)</f>
        <v>0.43055555555555558</v>
      </c>
      <c r="T16" s="33">
        <f>S16-Q16</f>
        <v>6.25E-2</v>
      </c>
      <c r="U16" s="13"/>
      <c r="V16" s="2"/>
      <c r="W16" s="13"/>
      <c r="X16" s="2"/>
      <c r="Y16" s="13"/>
      <c r="Z16" s="13"/>
      <c r="AA16" s="13"/>
      <c r="AB16" s="13"/>
      <c r="AC16" s="13"/>
      <c r="AD16" s="28">
        <v>9</v>
      </c>
      <c r="AE16" s="28">
        <v>45</v>
      </c>
      <c r="AF16" s="55">
        <f t="shared" ref="AF16:AF17" si="9">SUM(D16+F16+H16)+J16+L16+N16+P16+R16+T16+V16+X16+Z16+AB16</f>
        <v>0.43055555555555558</v>
      </c>
      <c r="AG16" s="56">
        <f t="shared" ref="AG16:AG17" si="10">AD16*1400</f>
        <v>12600</v>
      </c>
    </row>
    <row r="17" spans="1:33" s="8" customFormat="1" ht="18">
      <c r="A17" s="1" t="s">
        <v>11</v>
      </c>
      <c r="B17" s="37" t="s">
        <v>16</v>
      </c>
      <c r="C17" s="32">
        <f>TIME(0,58,38)</f>
        <v>4.071759259259259E-2</v>
      </c>
      <c r="D17" s="32">
        <f t="shared" si="8"/>
        <v>4.071759259259259E-2</v>
      </c>
      <c r="E17" s="32">
        <f>TIME(1,55,0)</f>
        <v>7.9861111111111105E-2</v>
      </c>
      <c r="F17" s="34">
        <f>E17-C17</f>
        <v>3.9143518518518515E-2</v>
      </c>
      <c r="G17" s="32">
        <f>TIME(3,4,0)</f>
        <v>0.1277777777777778</v>
      </c>
      <c r="H17" s="1">
        <f>G17-E17</f>
        <v>4.7916666666666691E-2</v>
      </c>
      <c r="I17" s="32">
        <f>TIME(4,15,0)</f>
        <v>0.17708333333333334</v>
      </c>
      <c r="J17" s="19">
        <f>I17-G17</f>
        <v>4.9305555555555547E-2</v>
      </c>
      <c r="K17" s="32">
        <f>TIME(5,10,0)</f>
        <v>0.21527777777777779</v>
      </c>
      <c r="L17" s="19">
        <f>K17-I17</f>
        <v>3.8194444444444448E-2</v>
      </c>
      <c r="M17" s="32">
        <f>TIME(6,32,0)</f>
        <v>0.2722222222222222</v>
      </c>
      <c r="N17" s="19">
        <f>M17-K17</f>
        <v>5.6944444444444409E-2</v>
      </c>
      <c r="O17" s="32">
        <f>TIME(7,45,0)</f>
        <v>0.32291666666666669</v>
      </c>
      <c r="P17" s="19">
        <f>O17-M17</f>
        <v>5.0694444444444486E-2</v>
      </c>
      <c r="Q17" s="32">
        <f>TIME(10,20,0)</f>
        <v>0.43055555555555558</v>
      </c>
      <c r="R17" s="19">
        <f>Q17-O17</f>
        <v>0.1076388888888889</v>
      </c>
      <c r="S17" s="32">
        <f>TIME(11,47,0)</f>
        <v>0.4909722222222222</v>
      </c>
      <c r="T17" s="19">
        <f>S17-Q17</f>
        <v>6.0416666666666619E-2</v>
      </c>
      <c r="U17" s="1"/>
      <c r="V17" s="1"/>
      <c r="W17" s="12"/>
      <c r="X17" s="1"/>
      <c r="Y17" s="12"/>
      <c r="Z17" s="12"/>
      <c r="AA17" s="12"/>
      <c r="AB17" s="12"/>
      <c r="AC17" s="12"/>
      <c r="AD17" s="30">
        <v>9</v>
      </c>
      <c r="AE17" s="30">
        <v>45</v>
      </c>
      <c r="AF17" s="31">
        <f t="shared" si="9"/>
        <v>0.4909722222222222</v>
      </c>
      <c r="AG17" s="30">
        <f t="shared" si="10"/>
        <v>12600</v>
      </c>
    </row>
    <row r="18" spans="1:33" s="11" customFormat="1" ht="18">
      <c r="A18" s="43"/>
      <c r="B18" s="44"/>
      <c r="C18" s="45"/>
      <c r="D18" s="45"/>
      <c r="E18" s="45"/>
      <c r="F18" s="46"/>
      <c r="G18" s="45"/>
      <c r="H18" s="43"/>
      <c r="I18" s="45"/>
      <c r="J18" s="43"/>
      <c r="K18" s="45"/>
      <c r="L18" s="43"/>
      <c r="M18" s="43"/>
      <c r="N18" s="43"/>
      <c r="O18" s="43"/>
      <c r="P18" s="43"/>
      <c r="Q18" s="45"/>
      <c r="R18" s="43"/>
      <c r="S18" s="47"/>
      <c r="T18" s="43"/>
      <c r="U18" s="45"/>
      <c r="V18" s="9"/>
      <c r="W18" s="10"/>
      <c r="X18" s="9"/>
      <c r="Y18" s="10"/>
      <c r="Z18" s="10"/>
      <c r="AA18" s="10"/>
      <c r="AB18" s="10"/>
      <c r="AC18" s="10"/>
      <c r="AD18" s="48"/>
      <c r="AE18" s="48"/>
      <c r="AF18" s="49"/>
      <c r="AG18" s="50"/>
    </row>
    <row r="19" spans="1:33" ht="18">
      <c r="A19" s="14"/>
      <c r="B19" s="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7"/>
      <c r="AF19" s="17"/>
    </row>
  </sheetData>
  <phoneticPr fontId="1" type="noConversion"/>
  <pageMargins left="0.75" right="0.75" top="1" bottom="1" header="0.5" footer="0.5"/>
  <pageSetup paperSize="3" orientation="portrait" horizontalDpi="4294967292" verticalDpi="4294967292"/>
  <colBreaks count="1" manualBreakCount="1">
    <brk id="29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John Hardin</cp:lastModifiedBy>
  <dcterms:created xsi:type="dcterms:W3CDTF">2013-01-30T04:12:38Z</dcterms:created>
  <dcterms:modified xsi:type="dcterms:W3CDTF">2014-01-28T17:10:28Z</dcterms:modified>
</cp:coreProperties>
</file>